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0680" activeTab="7"/>
  </bookViews>
  <sheets>
    <sheet name="Jan25 Old" sheetId="2" r:id="rId1"/>
    <sheet name="Jan25 New" sheetId="4" r:id="rId2"/>
    <sheet name="Jan25 Total" sheetId="5" r:id="rId3"/>
    <sheet name="FEB-2025" sheetId="6" r:id="rId4"/>
    <sheet name="MARCH 2025" sheetId="7" r:id="rId5"/>
    <sheet name="APRIL 2025" sheetId="8" r:id="rId6"/>
    <sheet name="MAY-2025" sheetId="9" r:id="rId7"/>
    <sheet name="JUNE-2025" sheetId="10" r:id="rId8"/>
    <sheet name="JUNE-2025 (2)" sheetId="11" r:id="rId9"/>
  </sheets>
  <externalReferences>
    <externalReference r:id="rId10"/>
  </externalReferences>
  <definedNames>
    <definedName name="_xlnm.Print_Area" localSheetId="5">'APRIL 2025'!$A$1:$P$68</definedName>
    <definedName name="_xlnm.Print_Area" localSheetId="3">'FEB-2025'!$A$1:$P$68</definedName>
    <definedName name="_xlnm.Print_Area" localSheetId="1">'Jan25 New'!$A$1:$P$68</definedName>
    <definedName name="_xlnm.Print_Area" localSheetId="0">'Jan25 Old'!$A$1:$P$68</definedName>
    <definedName name="_xlnm.Print_Area" localSheetId="2">'Jan25 Total'!$A$1:$P$70</definedName>
    <definedName name="_xlnm.Print_Area" localSheetId="7">'JUNE-2025'!$A$1:$P$71</definedName>
    <definedName name="_xlnm.Print_Area" localSheetId="8">'JUNE-2025 (2)'!$A$1:$P$71</definedName>
    <definedName name="_xlnm.Print_Area" localSheetId="4">'MARCH 2025'!$A$1:$P$68</definedName>
    <definedName name="_xlnm.Print_Area" localSheetId="6">'MAY-2025'!$A$1:$P$69</definedName>
  </definedNames>
  <calcPr calcId="162913"/>
</workbook>
</file>

<file path=xl/calcChain.xml><?xml version="1.0" encoding="utf-8"?>
<calcChain xmlns="http://schemas.openxmlformats.org/spreadsheetml/2006/main">
  <c r="O28" i="10" l="1"/>
  <c r="R28" i="10"/>
  <c r="T47" i="11" l="1"/>
  <c r="S47" i="11"/>
  <c r="V42" i="10" l="1"/>
  <c r="Y45" i="9"/>
  <c r="W39" i="10"/>
  <c r="V39" i="10"/>
  <c r="U39" i="10"/>
  <c r="T39" i="10"/>
  <c r="V42" i="9"/>
  <c r="X45" i="9"/>
  <c r="W45" i="9"/>
  <c r="V45" i="9"/>
  <c r="D51" i="11" l="1"/>
  <c r="F51" i="11" s="1"/>
  <c r="O50" i="11"/>
  <c r="D49" i="11"/>
  <c r="F49" i="11" s="1"/>
  <c r="O42" i="11"/>
  <c r="F38" i="11"/>
  <c r="F34" i="11"/>
  <c r="F32" i="11"/>
  <c r="O31" i="11"/>
  <c r="N25" i="11"/>
  <c r="M25" i="11"/>
  <c r="L25" i="11"/>
  <c r="J25" i="11"/>
  <c r="I25" i="11"/>
  <c r="K23" i="11"/>
  <c r="O23" i="11" s="1"/>
  <c r="D23" i="11"/>
  <c r="D25" i="11" s="1"/>
  <c r="J10" i="11" s="1"/>
  <c r="C23" i="11"/>
  <c r="C25" i="11" s="1"/>
  <c r="D35" i="11" s="1"/>
  <c r="K22" i="11"/>
  <c r="K25" i="11" s="1"/>
  <c r="K21" i="11"/>
  <c r="E21" i="11"/>
  <c r="E23" i="11" s="1"/>
  <c r="D21" i="11"/>
  <c r="C21" i="11"/>
  <c r="K20" i="11"/>
  <c r="O20" i="11" s="1"/>
  <c r="T15" i="11"/>
  <c r="J12" i="11" s="1"/>
  <c r="T14" i="11"/>
  <c r="J16" i="11" s="1"/>
  <c r="D54" i="11" s="1"/>
  <c r="F54" i="11" s="1"/>
  <c r="T13" i="11"/>
  <c r="O13" i="11"/>
  <c r="D48" i="11" s="1"/>
  <c r="F48" i="11" s="1"/>
  <c r="J13" i="11"/>
  <c r="D47" i="11" s="1"/>
  <c r="F47" i="11" s="1"/>
  <c r="T12" i="11"/>
  <c r="O12" i="11" s="1"/>
  <c r="T11" i="11"/>
  <c r="O9" i="11"/>
  <c r="O10" i="11" s="1"/>
  <c r="D29" i="11" s="1"/>
  <c r="F29" i="11" s="1"/>
  <c r="O30" i="11" l="1"/>
  <c r="E24" i="11"/>
  <c r="D50" i="11"/>
  <c r="F50" i="11" s="1"/>
  <c r="E25" i="11"/>
  <c r="D36" i="11"/>
  <c r="F35" i="11"/>
  <c r="O22" i="11"/>
  <c r="O25" i="11" s="1"/>
  <c r="F42" i="11" s="1"/>
  <c r="T16" i="11"/>
  <c r="O43" i="10"/>
  <c r="F37" i="10"/>
  <c r="F36" i="10"/>
  <c r="D37" i="10"/>
  <c r="D36" i="10"/>
  <c r="D37" i="11" l="1"/>
  <c r="F37" i="11" s="1"/>
  <c r="F36" i="11"/>
  <c r="D33" i="11"/>
  <c r="F33" i="11" s="1"/>
  <c r="D40" i="11"/>
  <c r="F40" i="11" s="1"/>
  <c r="D39" i="11"/>
  <c r="F39" i="11" s="1"/>
  <c r="D51" i="10"/>
  <c r="F51" i="10" s="1"/>
  <c r="O50" i="10"/>
  <c r="O42" i="10"/>
  <c r="F38" i="10"/>
  <c r="F34" i="10"/>
  <c r="F32" i="10"/>
  <c r="O31" i="10"/>
  <c r="N25" i="10"/>
  <c r="M25" i="10"/>
  <c r="L25" i="10"/>
  <c r="J25" i="10"/>
  <c r="I25" i="10"/>
  <c r="K23" i="10"/>
  <c r="K22" i="10"/>
  <c r="O22" i="10" s="1"/>
  <c r="K21" i="10"/>
  <c r="E21" i="10"/>
  <c r="E23" i="10" s="1"/>
  <c r="D21" i="10"/>
  <c r="D23" i="10" s="1"/>
  <c r="D25" i="10" s="1"/>
  <c r="J10" i="10" s="1"/>
  <c r="C21" i="10"/>
  <c r="C23" i="10" s="1"/>
  <c r="C25" i="10" s="1"/>
  <c r="D35" i="10" s="1"/>
  <c r="F35" i="10" s="1"/>
  <c r="K20" i="10"/>
  <c r="O20" i="10" s="1"/>
  <c r="T16" i="10"/>
  <c r="T15" i="10"/>
  <c r="T14" i="10"/>
  <c r="J16" i="10" s="1"/>
  <c r="O30" i="10" s="1"/>
  <c r="T13" i="10"/>
  <c r="O13" i="10"/>
  <c r="D48" i="10" s="1"/>
  <c r="F48" i="10" s="1"/>
  <c r="J13" i="10"/>
  <c r="D47" i="10" s="1"/>
  <c r="F47" i="10" s="1"/>
  <c r="T12" i="10"/>
  <c r="O12" i="10" s="1"/>
  <c r="J12" i="10"/>
  <c r="T11" i="10"/>
  <c r="O9" i="10"/>
  <c r="O10" i="10" s="1"/>
  <c r="D29" i="10" s="1"/>
  <c r="F29" i="10" s="1"/>
  <c r="O28" i="11" l="1"/>
  <c r="O38" i="11" s="1"/>
  <c r="O43" i="11" s="1"/>
  <c r="O51" i="11" s="1"/>
  <c r="O52" i="11" s="1"/>
  <c r="K25" i="10"/>
  <c r="D50" i="10"/>
  <c r="F50" i="10" s="1"/>
  <c r="E24" i="10"/>
  <c r="E25" i="10" s="1"/>
  <c r="D54" i="10"/>
  <c r="F54" i="10" s="1"/>
  <c r="O23" i="10"/>
  <c r="O25" i="10" s="1"/>
  <c r="F42" i="10" s="1"/>
  <c r="D49" i="10"/>
  <c r="F49" i="10" s="1"/>
  <c r="O41" i="9"/>
  <c r="F70" i="11" l="1"/>
  <c r="B2" i="11"/>
  <c r="B55" i="11" s="1"/>
  <c r="D33" i="10"/>
  <c r="F33" i="10" s="1"/>
  <c r="D40" i="10"/>
  <c r="F40" i="10" s="1"/>
  <c r="D39" i="10"/>
  <c r="F39" i="10" s="1"/>
  <c r="D38" i="9"/>
  <c r="F38" i="9" s="1"/>
  <c r="D37" i="9"/>
  <c r="D33" i="9"/>
  <c r="R29" i="9"/>
  <c r="O38" i="10" l="1"/>
  <c r="O51" i="10" s="1"/>
  <c r="O52" i="10" s="1"/>
  <c r="R52" i="10" s="1"/>
  <c r="S52" i="10" s="1"/>
  <c r="D49" i="9"/>
  <c r="F49" i="9" s="1"/>
  <c r="O48" i="9"/>
  <c r="O40" i="9"/>
  <c r="F36" i="9"/>
  <c r="F34" i="9"/>
  <c r="F32" i="9"/>
  <c r="O31" i="9"/>
  <c r="N25" i="9"/>
  <c r="M25" i="9"/>
  <c r="L25" i="9"/>
  <c r="J25" i="9"/>
  <c r="I25" i="9"/>
  <c r="K23" i="9"/>
  <c r="K22" i="9"/>
  <c r="O22" i="9" s="1"/>
  <c r="K21" i="9"/>
  <c r="E21" i="9"/>
  <c r="E23" i="9" s="1"/>
  <c r="D21" i="9"/>
  <c r="D23" i="9" s="1"/>
  <c r="D25" i="9" s="1"/>
  <c r="J10" i="9" s="1"/>
  <c r="O10" i="9" s="1"/>
  <c r="D29" i="9" s="1"/>
  <c r="F29" i="9" s="1"/>
  <c r="C21" i="9"/>
  <c r="C23" i="9" s="1"/>
  <c r="C25" i="9" s="1"/>
  <c r="D35" i="9" s="1"/>
  <c r="F35" i="9" s="1"/>
  <c r="K20" i="9"/>
  <c r="O20" i="9" s="1"/>
  <c r="T15" i="9"/>
  <c r="J12" i="9" s="1"/>
  <c r="T14" i="9"/>
  <c r="J16" i="9" s="1"/>
  <c r="D52" i="9" s="1"/>
  <c r="F52" i="9" s="1"/>
  <c r="T13" i="9"/>
  <c r="O13" i="9" s="1"/>
  <c r="D46" i="9" s="1"/>
  <c r="F46" i="9" s="1"/>
  <c r="T12" i="9"/>
  <c r="O12" i="9"/>
  <c r="T11" i="9"/>
  <c r="J13" i="9" s="1"/>
  <c r="O9" i="9"/>
  <c r="B2" i="10" l="1"/>
  <c r="B55" i="10" s="1"/>
  <c r="F70" i="10"/>
  <c r="T16" i="9"/>
  <c r="K25" i="9"/>
  <c r="D48" i="9"/>
  <c r="F48" i="9" s="1"/>
  <c r="D45" i="9"/>
  <c r="F45" i="9" s="1"/>
  <c r="D47" i="9"/>
  <c r="F47" i="9" s="1"/>
  <c r="E24" i="9"/>
  <c r="E25" i="9" s="1"/>
  <c r="O30" i="9"/>
  <c r="O23" i="9"/>
  <c r="O25" i="9" s="1"/>
  <c r="F40" i="9" s="1"/>
  <c r="W49" i="8"/>
  <c r="U50" i="8"/>
  <c r="R39" i="8"/>
  <c r="F37" i="9" l="1"/>
  <c r="F33" i="9"/>
  <c r="T46" i="7"/>
  <c r="O28" i="9" l="1"/>
  <c r="O36" i="9" s="1"/>
  <c r="D48" i="8"/>
  <c r="F48" i="8" s="1"/>
  <c r="O47" i="8"/>
  <c r="D47" i="8"/>
  <c r="F47" i="8" s="1"/>
  <c r="O39" i="8"/>
  <c r="F36" i="8"/>
  <c r="F34" i="8"/>
  <c r="F32" i="8"/>
  <c r="O31" i="8"/>
  <c r="N25" i="8"/>
  <c r="M25" i="8"/>
  <c r="L25" i="8"/>
  <c r="J25" i="8"/>
  <c r="I25" i="8"/>
  <c r="K23" i="8"/>
  <c r="O23" i="8" s="1"/>
  <c r="K22" i="8"/>
  <c r="O22" i="8" s="1"/>
  <c r="K21" i="8"/>
  <c r="E21" i="8"/>
  <c r="E23" i="8" s="1"/>
  <c r="D21" i="8"/>
  <c r="D23" i="8" s="1"/>
  <c r="D25" i="8" s="1"/>
  <c r="J10" i="8" s="1"/>
  <c r="O10" i="8" s="1"/>
  <c r="D29" i="8" s="1"/>
  <c r="F29" i="8" s="1"/>
  <c r="C21" i="8"/>
  <c r="C23" i="8" s="1"/>
  <c r="C25" i="8" s="1"/>
  <c r="D35" i="8" s="1"/>
  <c r="F35" i="8" s="1"/>
  <c r="K20" i="8"/>
  <c r="O20" i="8" s="1"/>
  <c r="O25" i="8" s="1"/>
  <c r="F39" i="8" s="1"/>
  <c r="T16" i="8"/>
  <c r="T15" i="8"/>
  <c r="T14" i="8"/>
  <c r="J16" i="8" s="1"/>
  <c r="D51" i="8" s="1"/>
  <c r="F51" i="8" s="1"/>
  <c r="T13" i="8"/>
  <c r="O13" i="8"/>
  <c r="D45" i="8" s="1"/>
  <c r="F45" i="8" s="1"/>
  <c r="T12" i="8"/>
  <c r="O12" i="8"/>
  <c r="J12" i="8"/>
  <c r="T11" i="8"/>
  <c r="J13" i="8" s="1"/>
  <c r="O9" i="8"/>
  <c r="O49" i="9" l="1"/>
  <c r="O50" i="9" s="1"/>
  <c r="O30" i="8"/>
  <c r="D46" i="8"/>
  <c r="F46" i="8" s="1"/>
  <c r="D44" i="8"/>
  <c r="F44" i="8" s="1"/>
  <c r="E24" i="8"/>
  <c r="E25" i="8" s="1"/>
  <c r="K25" i="8"/>
  <c r="D35" i="5"/>
  <c r="F68" i="9" l="1"/>
  <c r="B2" i="9"/>
  <c r="B53" i="9" s="1"/>
  <c r="D37" i="8"/>
  <c r="F37" i="8" s="1"/>
  <c r="R38" i="8" s="1"/>
  <c r="S48" i="8" s="1"/>
  <c r="U48" i="8" s="1"/>
  <c r="U49" i="8" s="1"/>
  <c r="D33" i="8"/>
  <c r="F33" i="8" s="1"/>
  <c r="D33" i="7"/>
  <c r="O28" i="8" l="1"/>
  <c r="D48" i="7"/>
  <c r="F48" i="7" s="1"/>
  <c r="O47" i="7"/>
  <c r="D47" i="7"/>
  <c r="F47" i="7" s="1"/>
  <c r="O39" i="7"/>
  <c r="F36" i="7"/>
  <c r="F34" i="7"/>
  <c r="F32" i="7"/>
  <c r="O31" i="7"/>
  <c r="N25" i="7"/>
  <c r="M25" i="7"/>
  <c r="L25" i="7"/>
  <c r="J25" i="7"/>
  <c r="I25" i="7"/>
  <c r="K23" i="7"/>
  <c r="K25" i="7" s="1"/>
  <c r="K22" i="7"/>
  <c r="O22" i="7" s="1"/>
  <c r="K21" i="7"/>
  <c r="E21" i="7"/>
  <c r="E23" i="7" s="1"/>
  <c r="D21" i="7"/>
  <c r="D23" i="7" s="1"/>
  <c r="D25" i="7" s="1"/>
  <c r="J10" i="7" s="1"/>
  <c r="O10" i="7" s="1"/>
  <c r="D29" i="7" s="1"/>
  <c r="F29" i="7" s="1"/>
  <c r="C21" i="7"/>
  <c r="C23" i="7" s="1"/>
  <c r="C25" i="7" s="1"/>
  <c r="D35" i="7" s="1"/>
  <c r="F35" i="7" s="1"/>
  <c r="K20" i="7"/>
  <c r="O20" i="7" s="1"/>
  <c r="T16" i="7"/>
  <c r="T15" i="7"/>
  <c r="T14" i="7"/>
  <c r="J16" i="7" s="1"/>
  <c r="D51" i="7" s="1"/>
  <c r="F51" i="7" s="1"/>
  <c r="T13" i="7"/>
  <c r="O13" i="7"/>
  <c r="D45" i="7" s="1"/>
  <c r="F45" i="7" s="1"/>
  <c r="T12" i="7"/>
  <c r="O12" i="7"/>
  <c r="J12" i="7"/>
  <c r="T11" i="7"/>
  <c r="J13" i="7" s="1"/>
  <c r="O9" i="7"/>
  <c r="O36" i="8" l="1"/>
  <c r="O40" i="8" s="1"/>
  <c r="O48" i="8" s="1"/>
  <c r="O49" i="8" s="1"/>
  <c r="Q40" i="8"/>
  <c r="D46" i="7"/>
  <c r="F46" i="7" s="1"/>
  <c r="E24" i="7"/>
  <c r="E25" i="7" s="1"/>
  <c r="D44" i="7"/>
  <c r="F44" i="7" s="1"/>
  <c r="O30" i="7"/>
  <c r="O23" i="7"/>
  <c r="O25" i="7" s="1"/>
  <c r="F39" i="7" s="1"/>
  <c r="D33" i="6"/>
  <c r="E25" i="6"/>
  <c r="R49" i="8" l="1"/>
  <c r="S49" i="8" s="1"/>
  <c r="S50" i="8" s="1"/>
  <c r="B2" i="8"/>
  <c r="B52" i="8" s="1"/>
  <c r="F67" i="8"/>
  <c r="R40" i="8"/>
  <c r="F33" i="7"/>
  <c r="D37" i="7"/>
  <c r="F37" i="7" s="1"/>
  <c r="D48" i="6"/>
  <c r="F48" i="6" s="1"/>
  <c r="O47" i="6"/>
  <c r="O39" i="6"/>
  <c r="F36" i="6"/>
  <c r="F34" i="6"/>
  <c r="F32" i="6"/>
  <c r="N25" i="6"/>
  <c r="M25" i="6"/>
  <c r="L25" i="6"/>
  <c r="J25" i="6"/>
  <c r="I25" i="6"/>
  <c r="K23" i="6"/>
  <c r="K25" i="6" s="1"/>
  <c r="K22" i="6"/>
  <c r="O22" i="6" s="1"/>
  <c r="K21" i="6"/>
  <c r="E21" i="6"/>
  <c r="E23" i="6" s="1"/>
  <c r="D21" i="6"/>
  <c r="D23" i="6" s="1"/>
  <c r="D25" i="6" s="1"/>
  <c r="J10" i="6" s="1"/>
  <c r="C21" i="6"/>
  <c r="C23" i="6" s="1"/>
  <c r="C25" i="6" s="1"/>
  <c r="D35" i="6" s="1"/>
  <c r="F35" i="6" s="1"/>
  <c r="K20" i="6"/>
  <c r="O20" i="6" s="1"/>
  <c r="T15" i="6"/>
  <c r="J12" i="6" s="1"/>
  <c r="T14" i="6"/>
  <c r="J16" i="6" s="1"/>
  <c r="D51" i="6" s="1"/>
  <c r="F51" i="6" s="1"/>
  <c r="T13" i="6"/>
  <c r="O13" i="6" s="1"/>
  <c r="D45" i="6" s="1"/>
  <c r="F45" i="6" s="1"/>
  <c r="T12" i="6"/>
  <c r="O12" i="6"/>
  <c r="D47" i="6" s="1"/>
  <c r="F47" i="6" s="1"/>
  <c r="T11" i="6"/>
  <c r="J13" i="6" s="1"/>
  <c r="O9" i="6"/>
  <c r="O28" i="7" l="1"/>
  <c r="O36" i="7" s="1"/>
  <c r="O40" i="7" s="1"/>
  <c r="O48" i="7" s="1"/>
  <c r="O49" i="7" s="1"/>
  <c r="T16" i="6"/>
  <c r="O30" i="6"/>
  <c r="O10" i="6"/>
  <c r="D29" i="6" s="1"/>
  <c r="F29" i="6" s="1"/>
  <c r="D46" i="6"/>
  <c r="F46" i="6" s="1"/>
  <c r="D44" i="6"/>
  <c r="F44" i="6" s="1"/>
  <c r="E24" i="6"/>
  <c r="O23" i="6"/>
  <c r="O25" i="6" s="1"/>
  <c r="F39" i="6" s="1"/>
  <c r="D50" i="5"/>
  <c r="F50" i="5" s="1"/>
  <c r="O49" i="5"/>
  <c r="D47" i="5"/>
  <c r="F47" i="5" s="1"/>
  <c r="O41" i="5"/>
  <c r="F38" i="5"/>
  <c r="T37" i="5"/>
  <c r="F36" i="5"/>
  <c r="F34" i="5"/>
  <c r="N27" i="5"/>
  <c r="M27" i="5"/>
  <c r="L27" i="5"/>
  <c r="J27" i="5"/>
  <c r="I27" i="5"/>
  <c r="K23" i="5"/>
  <c r="O23" i="5" s="1"/>
  <c r="E23" i="5"/>
  <c r="E25" i="5" s="1"/>
  <c r="K22" i="5"/>
  <c r="O22" i="5" s="1"/>
  <c r="K21" i="5"/>
  <c r="E21" i="5"/>
  <c r="D21" i="5"/>
  <c r="D23" i="5" s="1"/>
  <c r="D27" i="5" s="1"/>
  <c r="J10" i="5" s="1"/>
  <c r="O10" i="5" s="1"/>
  <c r="D31" i="5" s="1"/>
  <c r="F31" i="5" s="1"/>
  <c r="C21" i="5"/>
  <c r="C23" i="5" s="1"/>
  <c r="C27" i="5" s="1"/>
  <c r="D37" i="5" s="1"/>
  <c r="F37" i="5" s="1"/>
  <c r="K20" i="5"/>
  <c r="O20" i="5" s="1"/>
  <c r="J16" i="5"/>
  <c r="D53" i="5" s="1"/>
  <c r="F53" i="5" s="1"/>
  <c r="T15" i="5"/>
  <c r="J12" i="5" s="1"/>
  <c r="T14" i="5"/>
  <c r="T13" i="5"/>
  <c r="O13" i="5"/>
  <c r="T12" i="5"/>
  <c r="O12" i="5"/>
  <c r="D49" i="5" s="1"/>
  <c r="F49" i="5" s="1"/>
  <c r="T11" i="5"/>
  <c r="J13" i="5" s="1"/>
  <c r="O9" i="5"/>
  <c r="D48" i="4"/>
  <c r="F48" i="4" s="1"/>
  <c r="O47" i="4"/>
  <c r="O39" i="4"/>
  <c r="F36" i="4"/>
  <c r="T35" i="4"/>
  <c r="F34" i="4"/>
  <c r="F32" i="4"/>
  <c r="N25" i="4"/>
  <c r="M25" i="4"/>
  <c r="L25" i="4"/>
  <c r="J25" i="4"/>
  <c r="I25" i="4"/>
  <c r="O23" i="4"/>
  <c r="K23" i="4"/>
  <c r="K22" i="4"/>
  <c r="O22" i="4" s="1"/>
  <c r="K21" i="4"/>
  <c r="E21" i="4"/>
  <c r="E23" i="4" s="1"/>
  <c r="D21" i="4"/>
  <c r="D23" i="4" s="1"/>
  <c r="D25" i="4" s="1"/>
  <c r="J10" i="4" s="1"/>
  <c r="C21" i="4"/>
  <c r="C23" i="4" s="1"/>
  <c r="C25" i="4" s="1"/>
  <c r="D35" i="4" s="1"/>
  <c r="F35" i="4" s="1"/>
  <c r="K20" i="4"/>
  <c r="O20" i="4" s="1"/>
  <c r="T15" i="4"/>
  <c r="T14" i="4"/>
  <c r="J16" i="4" s="1"/>
  <c r="D51" i="4" s="1"/>
  <c r="F51" i="4" s="1"/>
  <c r="T13" i="4"/>
  <c r="O13" i="4"/>
  <c r="D45" i="4" s="1"/>
  <c r="F45" i="4" s="1"/>
  <c r="T12" i="4"/>
  <c r="O12" i="4" s="1"/>
  <c r="D47" i="4" s="1"/>
  <c r="F47" i="4" s="1"/>
  <c r="T11" i="4"/>
  <c r="J13" i="4" s="1"/>
  <c r="D44" i="4" s="1"/>
  <c r="F44" i="4" s="1"/>
  <c r="O9" i="4"/>
  <c r="F67" i="7" l="1"/>
  <c r="B2" i="7"/>
  <c r="B52" i="7" s="1"/>
  <c r="O31" i="6"/>
  <c r="D46" i="5"/>
  <c r="F46" i="5" s="1"/>
  <c r="D48" i="5"/>
  <c r="F48" i="5" s="1"/>
  <c r="T16" i="5"/>
  <c r="T16" i="4"/>
  <c r="R25" i="4"/>
  <c r="K25" i="4"/>
  <c r="E26" i="5"/>
  <c r="O32" i="5"/>
  <c r="K27" i="5"/>
  <c r="O27" i="5"/>
  <c r="F41" i="5" s="1"/>
  <c r="O10" i="4"/>
  <c r="D29" i="4" s="1"/>
  <c r="F29" i="4" s="1"/>
  <c r="O25" i="4"/>
  <c r="F39" i="4" s="1"/>
  <c r="J12" i="4"/>
  <c r="D46" i="4"/>
  <c r="F46" i="4" s="1"/>
  <c r="T14" i="2"/>
  <c r="J16" i="2" s="1"/>
  <c r="D37" i="6" l="1"/>
  <c r="F37" i="6" s="1"/>
  <c r="F33" i="6"/>
  <c r="S36" i="5"/>
  <c r="E27" i="5"/>
  <c r="E24" i="4"/>
  <c r="O30" i="4"/>
  <c r="D51" i="2"/>
  <c r="F51" i="2" s="1"/>
  <c r="D48" i="2"/>
  <c r="F48" i="2" s="1"/>
  <c r="O47" i="2"/>
  <c r="O39" i="2"/>
  <c r="F36" i="2"/>
  <c r="T35" i="2"/>
  <c r="F34" i="2"/>
  <c r="F32" i="2"/>
  <c r="J25" i="2"/>
  <c r="I25" i="2"/>
  <c r="K23" i="2"/>
  <c r="K22" i="2"/>
  <c r="K21" i="2"/>
  <c r="E21" i="2"/>
  <c r="E23" i="2" s="1"/>
  <c r="D21" i="2"/>
  <c r="D23" i="2" s="1"/>
  <c r="D25" i="2" s="1"/>
  <c r="J10" i="2" s="1"/>
  <c r="C21" i="2"/>
  <c r="C23" i="2" s="1"/>
  <c r="C25" i="2" s="1"/>
  <c r="D35" i="2" s="1"/>
  <c r="F35" i="2" s="1"/>
  <c r="K20" i="2"/>
  <c r="T15" i="2"/>
  <c r="J12" i="2" s="1"/>
  <c r="O30" i="2" s="1"/>
  <c r="T13" i="2"/>
  <c r="O13" i="2"/>
  <c r="T12" i="2"/>
  <c r="O12" i="2" s="1"/>
  <c r="T11" i="2"/>
  <c r="J13" i="2" s="1"/>
  <c r="D44" i="2" s="1"/>
  <c r="F44" i="2" s="1"/>
  <c r="O9" i="2"/>
  <c r="O28" i="6" l="1"/>
  <c r="O36" i="6" s="1"/>
  <c r="O40" i="6" s="1"/>
  <c r="O48" i="6" s="1"/>
  <c r="E24" i="2"/>
  <c r="S34" i="2" s="1"/>
  <c r="D39" i="5"/>
  <c r="F39" i="5" s="1"/>
  <c r="Q41" i="5" s="1"/>
  <c r="F35" i="5"/>
  <c r="O30" i="5" s="1"/>
  <c r="S39" i="5"/>
  <c r="T36" i="5"/>
  <c r="T39" i="5" s="1"/>
  <c r="T40" i="5" s="1"/>
  <c r="O33" i="5" s="1"/>
  <c r="S34" i="4"/>
  <c r="E25" i="4"/>
  <c r="R25" i="2"/>
  <c r="N25" i="2"/>
  <c r="E25" i="2"/>
  <c r="D33" i="2" s="1"/>
  <c r="K25" i="2"/>
  <c r="T34" i="2"/>
  <c r="T37" i="2" s="1"/>
  <c r="T38" i="2" s="1"/>
  <c r="O31" i="2" s="1"/>
  <c r="S37" i="2"/>
  <c r="O10" i="2"/>
  <c r="D29" i="2" s="1"/>
  <c r="F29" i="2" s="1"/>
  <c r="D46" i="2"/>
  <c r="F46" i="2" s="1"/>
  <c r="D47" i="2"/>
  <c r="F47" i="2" s="1"/>
  <c r="T16" i="2"/>
  <c r="D45" i="2"/>
  <c r="F45" i="2" s="1"/>
  <c r="O49" i="6" l="1"/>
  <c r="O38" i="5"/>
  <c r="O42" i="5"/>
  <c r="O50" i="5" s="1"/>
  <c r="R50" i="5" s="1"/>
  <c r="S50" i="5" s="1"/>
  <c r="D37" i="4"/>
  <c r="F37" i="4" s="1"/>
  <c r="Q39" i="4" s="1"/>
  <c r="D33" i="4"/>
  <c r="F33" i="4" s="1"/>
  <c r="S37" i="4"/>
  <c r="T34" i="4"/>
  <c r="T37" i="4" s="1"/>
  <c r="T38" i="4" s="1"/>
  <c r="O31" i="4" s="1"/>
  <c r="D37" i="2"/>
  <c r="F33" i="2"/>
  <c r="F37" i="2"/>
  <c r="Q39" i="2" s="1"/>
  <c r="O23" i="2"/>
  <c r="L25" i="2"/>
  <c r="O20" i="2"/>
  <c r="M25" i="2"/>
  <c r="O22" i="2"/>
  <c r="F67" i="6" l="1"/>
  <c r="B2" i="6"/>
  <c r="B52" i="6" s="1"/>
  <c r="O28" i="2"/>
  <c r="R51" i="5"/>
  <c r="O51" i="5"/>
  <c r="O28" i="4"/>
  <c r="O36" i="4" s="1"/>
  <c r="O40" i="4" s="1"/>
  <c r="O48" i="4" s="1"/>
  <c r="O36" i="2"/>
  <c r="O40" i="2" s="1"/>
  <c r="O25" i="2"/>
  <c r="F39" i="2" s="1"/>
  <c r="F69" i="5" l="1"/>
  <c r="B2" i="5"/>
  <c r="B54" i="5" s="1"/>
  <c r="R49" i="4"/>
  <c r="O49" i="4"/>
  <c r="O48" i="2"/>
  <c r="O49" i="2" s="1"/>
  <c r="F67" i="2" s="1"/>
  <c r="F67" i="4" l="1"/>
  <c r="B2" i="4"/>
  <c r="B52" i="4" s="1"/>
  <c r="B2" i="2"/>
  <c r="B52" i="2" s="1"/>
  <c r="R49" i="2"/>
</calcChain>
</file>

<file path=xl/sharedStrings.xml><?xml version="1.0" encoding="utf-8"?>
<sst xmlns="http://schemas.openxmlformats.org/spreadsheetml/2006/main" count="1308" uniqueCount="163">
  <si>
    <t>Bangalore Electricity Supply Company (BESCOM)</t>
  </si>
  <si>
    <t>(Wholly owned Government of Karnataka Undertaking) GST No - 29AACCB1412G1Z5</t>
  </si>
  <si>
    <t>RR No.</t>
  </si>
  <si>
    <t>ConnectionID</t>
  </si>
  <si>
    <t>Tariff</t>
  </si>
  <si>
    <t>BillNo</t>
  </si>
  <si>
    <t>BillingPeriod</t>
  </si>
  <si>
    <t>BillDate</t>
  </si>
  <si>
    <t>DueDate</t>
  </si>
  <si>
    <t>Disconnection Date</t>
  </si>
  <si>
    <t>HT-2(a)</t>
  </si>
  <si>
    <t>Name &amp; Address :</t>
  </si>
  <si>
    <t>Contract Demand(KVA)</t>
  </si>
  <si>
    <t>90% of CD(KVA)</t>
  </si>
  <si>
    <t>Recorded Demand(KVA)</t>
  </si>
  <si>
    <t>Billing Demand(KVA)</t>
  </si>
  <si>
    <t>Total</t>
  </si>
  <si>
    <t>Spl Incentive scheme(SIS)</t>
  </si>
  <si>
    <t>No</t>
  </si>
  <si>
    <t>Spl Incentive BaseCons</t>
  </si>
  <si>
    <t>OA</t>
  </si>
  <si>
    <t>Wheeled Energy(Cap)</t>
  </si>
  <si>
    <t>Wheeled Solar Energy (Non Cap)</t>
  </si>
  <si>
    <t>Solar</t>
  </si>
  <si>
    <t>RAMANAGARA.,</t>
  </si>
  <si>
    <t>Open access energy</t>
  </si>
  <si>
    <t>Wheeled Wind Energy(Non Cap)</t>
  </si>
  <si>
    <t>Wind</t>
  </si>
  <si>
    <t>Submeter(same bill)</t>
  </si>
  <si>
    <t>Supply Voltage</t>
  </si>
  <si>
    <t>11 KV</t>
  </si>
  <si>
    <t>GEOA (Cap)</t>
  </si>
  <si>
    <t>CSS Exempted WE(NCS)</t>
  </si>
  <si>
    <t>Submeter(seperate bill)</t>
  </si>
  <si>
    <t>Captive</t>
  </si>
  <si>
    <t>Wheeled Energy(GEOA)(Cap)</t>
  </si>
  <si>
    <t>Discounted Energy Cons(KWH)</t>
  </si>
  <si>
    <t>Gr Total:-</t>
  </si>
  <si>
    <t>Description</t>
  </si>
  <si>
    <t>MD Meter</t>
  </si>
  <si>
    <t>KWH Meter</t>
  </si>
  <si>
    <t>KVAH Meter</t>
  </si>
  <si>
    <t>PF</t>
  </si>
  <si>
    <t>TOD/Wheeling/Open Access Energy</t>
  </si>
  <si>
    <t>Pres Reading:</t>
  </si>
  <si>
    <t>TOD Zone</t>
  </si>
  <si>
    <t>IR</t>
  </si>
  <si>
    <t>FR</t>
  </si>
  <si>
    <t>TOD Units</t>
  </si>
  <si>
    <t>Wheeled Units(Cap)</t>
  </si>
  <si>
    <t>Wheeled Units(Non Cap)</t>
  </si>
  <si>
    <t>Open Access Units</t>
  </si>
  <si>
    <t>TOD EC/SIS Rebate</t>
  </si>
  <si>
    <t>Prev Reading:</t>
  </si>
  <si>
    <t>6 to 9 Hrs</t>
  </si>
  <si>
    <t>Difference</t>
  </si>
  <si>
    <t>9 to 18 Hrs</t>
  </si>
  <si>
    <t>Meter Constant</t>
  </si>
  <si>
    <t>18 to 22 Hrs</t>
  </si>
  <si>
    <t>Consumption</t>
  </si>
  <si>
    <t>22 to 06 Hrs</t>
  </si>
  <si>
    <t>Less/Add:Cons</t>
  </si>
  <si>
    <t>Net Cons(ECI)</t>
  </si>
  <si>
    <t>Billing Details</t>
  </si>
  <si>
    <t>Tax Details</t>
  </si>
  <si>
    <t>Bill Details</t>
  </si>
  <si>
    <t>Units</t>
  </si>
  <si>
    <t>Rate(Rs)</t>
  </si>
  <si>
    <t>Amount(Rs)</t>
  </si>
  <si>
    <t>Tax on Energy charges @ 9%</t>
  </si>
  <si>
    <t>Demand Charges1</t>
  </si>
  <si>
    <t>Tax on Open Access Energy @ 9%</t>
  </si>
  <si>
    <t>Demand Charges2</t>
  </si>
  <si>
    <t>Tax on Wheeled Energy(Captive) @ 20 paise</t>
  </si>
  <si>
    <t>Excess MD Penalty 1</t>
  </si>
  <si>
    <t>Tax on Wheeled Energy(Non Captive) @ 9%</t>
  </si>
  <si>
    <t>Tax Shortclaim</t>
  </si>
  <si>
    <t>EC Slab 1</t>
  </si>
  <si>
    <t>CGST</t>
  </si>
  <si>
    <t>EC Slab 2</t>
  </si>
  <si>
    <t>SGST</t>
  </si>
  <si>
    <t>Total Tax</t>
  </si>
  <si>
    <t>FAC</t>
  </si>
  <si>
    <t>D&amp;R Fees</t>
  </si>
  <si>
    <t>Tax</t>
  </si>
  <si>
    <t>Net TOD Charges</t>
  </si>
  <si>
    <t>Total Others</t>
  </si>
  <si>
    <t>Special Incentive(SIS)/Prompt Payment</t>
  </si>
  <si>
    <t>Bill Amount</t>
  </si>
  <si>
    <t>PF Penalty</t>
  </si>
  <si>
    <t>Details of Arrears</t>
  </si>
  <si>
    <t>Debited/TCS</t>
  </si>
  <si>
    <t>Revenue</t>
  </si>
  <si>
    <t>Interest on Revenue</t>
  </si>
  <si>
    <t>Addl Sur charges on OAU</t>
  </si>
  <si>
    <t>Interest on Tax</t>
  </si>
  <si>
    <t>Addl Sur charges on wheeled(Non Cap)</t>
  </si>
  <si>
    <t>Total Arrears</t>
  </si>
  <si>
    <t>Discounted Energy Rebate</t>
  </si>
  <si>
    <t>Total Bill Amount</t>
  </si>
  <si>
    <t>Reading Charges</t>
  </si>
  <si>
    <t>Amount Payable</t>
  </si>
  <si>
    <t>Wheeling Charges(GEOA)</t>
  </si>
  <si>
    <t>Total IOD:0.00 ,TDS Deducation:0.00 ,Net IOD:0.00</t>
  </si>
  <si>
    <t>Tariff DIff FC:0,EC:0,Tax:0,BMD:0</t>
  </si>
  <si>
    <t>Amount Under Disputes:</t>
  </si>
  <si>
    <t>Appeal</t>
  </si>
  <si>
    <t>Court Case</t>
  </si>
  <si>
    <t xml:space="preserve">                                                                                                                                                           FOR BANGALORE ELECTRICITY SUPPLY COMPANY LTD.,</t>
  </si>
  <si>
    <t xml:space="preserve">                                                                                                                                                        Assistant Executive Engineer (Ele.,)</t>
  </si>
  <si>
    <t>Details for NEFT/RGTS This Bill Payment only.</t>
  </si>
  <si>
    <t>Beneficiary Name</t>
  </si>
  <si>
    <t>: BESCOM</t>
  </si>
  <si>
    <t>Account Number</t>
  </si>
  <si>
    <t>BankName</t>
  </si>
  <si>
    <t>: Bank Of India</t>
  </si>
  <si>
    <t>Branch</t>
  </si>
  <si>
    <t>: Cantonment</t>
  </si>
  <si>
    <t>IFSC CODE</t>
  </si>
  <si>
    <t>:BKID00BSCOM</t>
  </si>
  <si>
    <t>Amount</t>
  </si>
  <si>
    <t>CPHT11</t>
  </si>
  <si>
    <t>M/S CHILLING CENTRE.</t>
  </si>
  <si>
    <t>MILK CHILLING</t>
  </si>
  <si>
    <t>BYRAPATNA,</t>
  </si>
  <si>
    <t>CHANNAPATNA TALUK</t>
  </si>
  <si>
    <t>Office Of The Assistant Executive Engineer(Ele..),C(O&amp;M), Subdivision:CHANNAPATANA URBAN</t>
  </si>
  <si>
    <t>Sub Meter KWH Meter</t>
  </si>
  <si>
    <t>Sub Meter Fixed Charges</t>
  </si>
  <si>
    <t>LT EC Slab 1</t>
  </si>
  <si>
    <t>LT EC Slab 2</t>
  </si>
  <si>
    <t xml:space="preserve">Sub Meter EC/HVR//IOD/ </t>
  </si>
  <si>
    <t>Misc Charges/Tax ShortClaim</t>
  </si>
  <si>
    <t>Rebate/Discount/IOD</t>
  </si>
  <si>
    <t>Cross Subsidy Charges(OAU)</t>
  </si>
  <si>
    <t>Cross Subsidy Charges(Wheeling Non Cap)</t>
  </si>
  <si>
    <t>Audit Short Cliam/FAC Jun-23 0.90 Paisa Short claim</t>
  </si>
  <si>
    <t>: 1700474</t>
  </si>
  <si>
    <t>202501170047401*</t>
  </si>
  <si>
    <t>01/12/2024 - 01/01/2025</t>
  </si>
  <si>
    <t>Total Consumption</t>
  </si>
  <si>
    <t>Old meter Consumption (IR4291.44 -FR4297.58)</t>
  </si>
  <si>
    <t>01/1/2025- 01/02/2025</t>
  </si>
  <si>
    <t>29-02-2025</t>
  </si>
  <si>
    <t>01/2/2025- 01/03/2025</t>
  </si>
  <si>
    <t>01/3/2025- 01/04/2025</t>
  </si>
  <si>
    <t>Wheeling Charges(GEOA) And Sub mtr EC Tax Fac Rs.33920+9530+858+203=43653</t>
  </si>
  <si>
    <t>01/4/2025- 01/05/2025</t>
  </si>
  <si>
    <t xml:space="preserve">P&amp;G Surcharge (GOK PORITION ) </t>
  </si>
  <si>
    <t>01/5/2025- 01/06/2025</t>
  </si>
  <si>
    <t>LT FAC</t>
  </si>
  <si>
    <t xml:space="preserve">LT P&amp;G Surcharge (GOK PORITION ) </t>
  </si>
  <si>
    <t>tax</t>
  </si>
  <si>
    <t>fac</t>
  </si>
  <si>
    <t>p&amp;g</t>
  </si>
  <si>
    <t>Wheeling Charges(GEOA) And Sub mtr EC Tax Fac Rs.</t>
  </si>
  <si>
    <t xml:space="preserve">WHEELING CHARGES </t>
  </si>
  <si>
    <t xml:space="preserve">SUB MTR LT CON EC </t>
  </si>
  <si>
    <t xml:space="preserve">TAX </t>
  </si>
  <si>
    <t>P&amp;G</t>
  </si>
  <si>
    <t xml:space="preserve">SUB MET </t>
  </si>
  <si>
    <t>DEBIT</t>
  </si>
  <si>
    <t>HT-2B(I)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</si>
</sst>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"/>
    <numFmt numFmtId="166" formatCode="0.0"/>
    <numFmt numFmtId="167" formatCode="0.0000000000"/>
  </numFmts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b/>
      <u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Bookman Old Style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333333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1" fontId="0" fillId="0" borderId="0" xfId="0" applyNumberFormat="1"/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" fontId="0" fillId="2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4" borderId="12" xfId="0" applyFill="1" applyBorder="1" applyAlignment="1">
      <alignment vertical="center"/>
    </xf>
    <xf numFmtId="0" fontId="7" fillId="0" borderId="12" xfId="0" applyFont="1" applyBorder="1" applyAlignment="1">
      <alignment horizontal="left" vertical="top" wrapText="1" readingOrder="1"/>
    </xf>
    <xf numFmtId="0" fontId="7" fillId="0" borderId="17" xfId="0" applyFont="1" applyBorder="1" applyAlignment="1">
      <alignment horizontal="left" vertical="top" wrapText="1" readingOrder="1"/>
    </xf>
    <xf numFmtId="0" fontId="0" fillId="0" borderId="9" xfId="0" applyBorder="1" applyAlignment="1">
      <alignment vertical="center" wrapText="1"/>
    </xf>
    <xf numFmtId="1" fontId="0" fillId="0" borderId="12" xfId="0" applyNumberFormat="1" applyBorder="1" applyAlignment="1">
      <alignment vertical="center"/>
    </xf>
    <xf numFmtId="164" fontId="10" fillId="0" borderId="12" xfId="0" applyNumberFormat="1" applyFont="1" applyBorder="1" applyAlignment="1">
      <alignment horizontal="right" vertical="center" wrapText="1"/>
    </xf>
    <xf numFmtId="165" fontId="10" fillId="0" borderId="12" xfId="0" applyNumberFormat="1" applyFont="1" applyBorder="1" applyAlignment="1">
      <alignment horizontal="right" vertical="center" wrapText="1"/>
    </xf>
    <xf numFmtId="2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 readingOrder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 wrapText="1"/>
    </xf>
    <xf numFmtId="1" fontId="12" fillId="0" borderId="12" xfId="0" applyNumberFormat="1" applyFont="1" applyBorder="1" applyAlignment="1">
      <alignment horizontal="right" vertical="center" wrapText="1"/>
    </xf>
    <xf numFmtId="1" fontId="0" fillId="0" borderId="12" xfId="0" applyNumberFormat="1" applyBorder="1"/>
    <xf numFmtId="164" fontId="7" fillId="0" borderId="12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left" vertical="top" wrapText="1" readingOrder="1"/>
    </xf>
    <xf numFmtId="0" fontId="8" fillId="0" borderId="12" xfId="0" applyFont="1" applyBorder="1" applyAlignment="1">
      <alignment horizontal="center" vertical="top" wrapText="1" readingOrder="1"/>
    </xf>
    <xf numFmtId="0" fontId="13" fillId="0" borderId="1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 wrapText="1" readingOrder="1"/>
    </xf>
    <xf numFmtId="0" fontId="15" fillId="0" borderId="12" xfId="0" applyFont="1" applyBorder="1" applyAlignment="1">
      <alignment horizontal="left" vertical="top" wrapText="1" readingOrder="1"/>
    </xf>
    <xf numFmtId="0" fontId="0" fillId="0" borderId="12" xfId="0" applyBorder="1"/>
    <xf numFmtId="1" fontId="15" fillId="0" borderId="12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 wrapText="1"/>
    </xf>
    <xf numFmtId="2" fontId="8" fillId="0" borderId="12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top" wrapText="1" readingOrder="1"/>
    </xf>
    <xf numFmtId="0" fontId="0" fillId="0" borderId="17" xfId="0" applyBorder="1"/>
    <xf numFmtId="2" fontId="8" fillId="0" borderId="12" xfId="0" applyNumberFormat="1" applyFont="1" applyBorder="1" applyAlignment="1">
      <alignment horizontal="right" vertical="top" wrapText="1" readingOrder="1"/>
    </xf>
    <xf numFmtId="2" fontId="8" fillId="0" borderId="12" xfId="0" applyNumberFormat="1" applyFont="1" applyBorder="1" applyAlignment="1">
      <alignment horizontal="left" vertical="top" wrapText="1" readingOrder="1"/>
    </xf>
    <xf numFmtId="2" fontId="0" fillId="0" borderId="0" xfId="0" applyNumberFormat="1"/>
    <xf numFmtId="0" fontId="7" fillId="0" borderId="12" xfId="0" applyFont="1" applyBorder="1" applyAlignment="1">
      <alignment horizontal="right" vertical="top" wrapText="1" readingOrder="1"/>
    </xf>
    <xf numFmtId="0" fontId="7" fillId="0" borderId="12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 readingOrder="1"/>
    </xf>
    <xf numFmtId="0" fontId="0" fillId="0" borderId="12" xfId="0" applyBorder="1" applyAlignment="1">
      <alignment horizontal="center"/>
    </xf>
    <xf numFmtId="0" fontId="0" fillId="0" borderId="9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1" fontId="8" fillId="0" borderId="12" xfId="0" applyNumberFormat="1" applyFont="1" applyBorder="1" applyAlignment="1">
      <alignment horizontal="right" vertical="center" wrapText="1"/>
    </xf>
    <xf numFmtId="0" fontId="0" fillId="0" borderId="14" xfId="0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" fontId="0" fillId="0" borderId="32" xfId="0" applyNumberFormat="1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0" borderId="33" xfId="0" applyBorder="1" applyAlignment="1">
      <alignment horizontal="right" vertical="center" wrapText="1"/>
    </xf>
    <xf numFmtId="0" fontId="0" fillId="5" borderId="0" xfId="0" applyFill="1" applyBorder="1" applyAlignment="1">
      <alignment horizontal="center" vertical="center"/>
    </xf>
    <xf numFmtId="0" fontId="0" fillId="5" borderId="17" xfId="0" applyFill="1" applyBorder="1" applyAlignment="1">
      <alignment vertical="center"/>
    </xf>
    <xf numFmtId="0" fontId="0" fillId="0" borderId="34" xfId="0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right" vertical="center" wrapText="1"/>
    </xf>
    <xf numFmtId="1" fontId="0" fillId="0" borderId="33" xfId="0" applyNumberFormat="1" applyFont="1" applyBorder="1" applyAlignment="1">
      <alignment vertical="center" wrapText="1"/>
    </xf>
    <xf numFmtId="2" fontId="0" fillId="0" borderId="12" xfId="0" applyNumberForma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2" fontId="15" fillId="0" borderId="12" xfId="0" applyNumberFormat="1" applyFont="1" applyBorder="1" applyAlignment="1">
      <alignment horizontal="right" vertical="center" wrapText="1"/>
    </xf>
    <xf numFmtId="0" fontId="15" fillId="0" borderId="12" xfId="0" applyFont="1" applyBorder="1" applyAlignment="1">
      <alignment horizontal="right" vertical="center" wrapText="1"/>
    </xf>
    <xf numFmtId="2" fontId="0" fillId="0" borderId="12" xfId="0" applyNumberFormat="1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1" fontId="0" fillId="0" borderId="9" xfId="0" applyNumberFormat="1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 wrapText="1"/>
    </xf>
    <xf numFmtId="2" fontId="0" fillId="0" borderId="9" xfId="0" applyNumberFormat="1" applyFont="1" applyBorder="1" applyAlignment="1">
      <alignment vertical="center" wrapText="1"/>
    </xf>
    <xf numFmtId="1" fontId="0" fillId="0" borderId="10" xfId="0" applyNumberFormat="1" applyFont="1" applyBorder="1" applyAlignment="1">
      <alignment vertical="center" wrapText="1"/>
    </xf>
    <xf numFmtId="1" fontId="1" fillId="0" borderId="0" xfId="0" applyNumberFormat="1" applyFont="1"/>
    <xf numFmtId="0" fontId="0" fillId="0" borderId="21" xfId="0" applyBorder="1"/>
    <xf numFmtId="2" fontId="8" fillId="0" borderId="12" xfId="0" applyNumberFormat="1" applyFont="1" applyBorder="1" applyAlignment="1">
      <alignment horizontal="right" wrapText="1" readingOrder="1"/>
    </xf>
    <xf numFmtId="1" fontId="0" fillId="0" borderId="0" xfId="0" applyNumberFormat="1" applyAlignment="1">
      <alignment wrapText="1"/>
    </xf>
    <xf numFmtId="1" fontId="0" fillId="0" borderId="33" xfId="0" applyNumberFormat="1" applyBorder="1" applyAlignment="1">
      <alignment vertical="center" wrapText="1"/>
    </xf>
    <xf numFmtId="0" fontId="0" fillId="4" borderId="17" xfId="0" applyFill="1" applyBorder="1" applyAlignment="1">
      <alignment vertical="center"/>
    </xf>
    <xf numFmtId="0" fontId="7" fillId="0" borderId="12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33" xfId="0" applyBorder="1"/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14" fillId="0" borderId="12" xfId="0" applyFont="1" applyBorder="1" applyAlignment="1">
      <alignment horizontal="right" vertical="center" wrapText="1"/>
    </xf>
    <xf numFmtId="0" fontId="0" fillId="5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166" fontId="8" fillId="0" borderId="12" xfId="0" applyNumberFormat="1" applyFont="1" applyBorder="1" applyAlignment="1">
      <alignment horizontal="right" vertical="center"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67" fontId="0" fillId="0" borderId="0" xfId="0" applyNumberFormat="1"/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18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1" fontId="16" fillId="6" borderId="12" xfId="0" applyNumberFormat="1" applyFont="1" applyFill="1" applyBorder="1" applyAlignment="1">
      <alignment vertical="center" wrapText="1"/>
    </xf>
    <xf numFmtId="0" fontId="16" fillId="6" borderId="12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7" fillId="0" borderId="12" xfId="0" applyFont="1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/>
    </xf>
    <xf numFmtId="1" fontId="0" fillId="0" borderId="0" xfId="0" applyNumberFormat="1" applyBorder="1"/>
    <xf numFmtId="0" fontId="0" fillId="0" borderId="0" xfId="0" applyBorder="1" applyAlignment="1">
      <alignment horizontal="center" vertical="center"/>
    </xf>
    <xf numFmtId="2" fontId="0" fillId="0" borderId="0" xfId="0" applyNumberFormat="1" applyBorder="1"/>
    <xf numFmtId="1" fontId="1" fillId="0" borderId="0" xfId="0" applyNumberFormat="1" applyFont="1" applyBorder="1"/>
    <xf numFmtId="1" fontId="18" fillId="0" borderId="0" xfId="0" applyNumberFormat="1" applyFont="1" applyBorder="1" applyAlignment="1">
      <alignment horizontal="center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12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Fill="1" applyBorder="1"/>
    <xf numFmtId="3" fontId="0" fillId="0" borderId="0" xfId="0" applyNumberForma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8" xfId="0" applyBorder="1" applyAlignment="1">
      <alignment horizontal="center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2" xfId="0" applyBorder="1" applyAlignment="1">
      <alignment horizontal="center"/>
    </xf>
    <xf numFmtId="1" fontId="7" fillId="0" borderId="13" xfId="0" applyNumberFormat="1" applyFont="1" applyBorder="1" applyAlignment="1">
      <alignment horizontal="right" vertical="center" wrapText="1" readingOrder="1"/>
    </xf>
    <xf numFmtId="1" fontId="7" fillId="0" borderId="14" xfId="0" applyNumberFormat="1" applyFont="1" applyBorder="1" applyAlignment="1">
      <alignment horizontal="right" vertical="center" wrapText="1" readingOrder="1"/>
    </xf>
    <xf numFmtId="0" fontId="2" fillId="0" borderId="2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1" fontId="8" fillId="0" borderId="13" xfId="0" applyNumberFormat="1" applyFont="1" applyBorder="1" applyAlignment="1">
      <alignment horizontal="right" vertical="center" wrapText="1"/>
    </xf>
    <xf numFmtId="1" fontId="8" fillId="0" borderId="14" xfId="0" applyNumberFormat="1" applyFont="1" applyBorder="1" applyAlignment="1">
      <alignment horizontal="righ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2" fontId="2" fillId="0" borderId="15" xfId="0" applyNumberFormat="1" applyFont="1" applyBorder="1" applyAlignment="1">
      <alignment horizontal="left" vertical="center" wrapText="1"/>
    </xf>
    <xf numFmtId="2" fontId="2" fillId="0" borderId="14" xfId="0" applyNumberFormat="1" applyFont="1" applyBorder="1" applyAlignment="1">
      <alignment horizontal="left" vertical="center" wrapText="1"/>
    </xf>
    <xf numFmtId="2" fontId="8" fillId="0" borderId="13" xfId="0" applyNumberFormat="1" applyFont="1" applyBorder="1" applyAlignment="1">
      <alignment horizontal="left" vertical="center" wrapText="1"/>
    </xf>
    <xf numFmtId="2" fontId="8" fillId="0" borderId="16" xfId="0" applyNumberFormat="1" applyFont="1" applyBorder="1" applyAlignment="1">
      <alignment horizontal="left" vertical="center" wrapText="1"/>
    </xf>
    <xf numFmtId="2" fontId="8" fillId="0" borderId="14" xfId="0" applyNumberFormat="1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right" vertical="center" wrapText="1"/>
    </xf>
    <xf numFmtId="0" fontId="16" fillId="0" borderId="14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0" fillId="0" borderId="12" xfId="0" applyBorder="1" applyAlignment="1">
      <alignment horizontal="left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6" borderId="15" xfId="0" applyFill="1" applyBorder="1" applyAlignment="1">
      <alignment vertical="center" wrapText="1"/>
    </xf>
    <xf numFmtId="0" fontId="0" fillId="6" borderId="16" xfId="0" applyFill="1" applyBorder="1" applyAlignment="1">
      <alignment vertical="center" wrapText="1"/>
    </xf>
    <xf numFmtId="0" fontId="0" fillId="6" borderId="36" xfId="0" applyFill="1" applyBorder="1" applyAlignment="1">
      <alignment vertical="center" wrapText="1"/>
    </xf>
    <xf numFmtId="0" fontId="0" fillId="0" borderId="36" xfId="0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top" wrapText="1" readingOrder="1"/>
    </xf>
    <xf numFmtId="0" fontId="10" fillId="0" borderId="37" xfId="0" applyFont="1" applyBorder="1" applyAlignment="1">
      <alignment horizontal="center" vertical="top" wrapText="1" readingOrder="1"/>
    </xf>
    <xf numFmtId="0" fontId="10" fillId="0" borderId="0" xfId="0" applyFont="1" applyBorder="1" applyAlignment="1">
      <alignment horizontal="left" vertical="center" wrapText="1"/>
    </xf>
    <xf numFmtId="1" fontId="10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9" fillId="6" borderId="13" xfId="0" applyFont="1" applyFill="1" applyBorder="1" applyAlignment="1">
      <alignment horizontal="center" vertical="center" wrapText="1"/>
    </xf>
    <xf numFmtId="0" fontId="19" fillId="6" borderId="14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" fontId="16" fillId="0" borderId="13" xfId="0" applyNumberFormat="1" applyFont="1" applyBorder="1" applyAlignment="1">
      <alignment horizontal="right" vertical="center" wrapText="1"/>
    </xf>
    <xf numFmtId="1" fontId="16" fillId="0" borderId="14" xfId="0" applyNumberFormat="1" applyFont="1" applyBorder="1" applyAlignment="1">
      <alignment horizontal="right" vertical="center" wrapText="1"/>
    </xf>
    <xf numFmtId="0" fontId="20" fillId="6" borderId="13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4" fontId="2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60</xdr:row>
      <xdr:rowOff>95250</xdr:rowOff>
    </xdr:from>
    <xdr:to>
      <xdr:col>2</xdr:col>
      <xdr:colOff>47625</xdr:colOff>
      <xdr:row>67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4001750"/>
          <a:ext cx="19526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61</xdr:row>
      <xdr:rowOff>9525</xdr:rowOff>
    </xdr:from>
    <xdr:to>
      <xdr:col>13</xdr:col>
      <xdr:colOff>666750</xdr:colOff>
      <xdr:row>66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4144625"/>
          <a:ext cx="2724150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60</xdr:row>
      <xdr:rowOff>95250</xdr:rowOff>
    </xdr:from>
    <xdr:to>
      <xdr:col>2</xdr:col>
      <xdr:colOff>47625</xdr:colOff>
      <xdr:row>67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030450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61</xdr:row>
      <xdr:rowOff>9525</xdr:rowOff>
    </xdr:from>
    <xdr:to>
      <xdr:col>13</xdr:col>
      <xdr:colOff>666750</xdr:colOff>
      <xdr:row>66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5173325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62</xdr:row>
      <xdr:rowOff>95250</xdr:rowOff>
    </xdr:from>
    <xdr:to>
      <xdr:col>2</xdr:col>
      <xdr:colOff>47625</xdr:colOff>
      <xdr:row>69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030450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63</xdr:row>
      <xdr:rowOff>9525</xdr:rowOff>
    </xdr:from>
    <xdr:to>
      <xdr:col>13</xdr:col>
      <xdr:colOff>666750</xdr:colOff>
      <xdr:row>68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5173325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60</xdr:row>
      <xdr:rowOff>95250</xdr:rowOff>
    </xdr:from>
    <xdr:to>
      <xdr:col>2</xdr:col>
      <xdr:colOff>47625</xdr:colOff>
      <xdr:row>67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744825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61</xdr:row>
      <xdr:rowOff>9525</xdr:rowOff>
    </xdr:from>
    <xdr:to>
      <xdr:col>13</xdr:col>
      <xdr:colOff>666750</xdr:colOff>
      <xdr:row>66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5887700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60</xdr:row>
      <xdr:rowOff>95250</xdr:rowOff>
    </xdr:from>
    <xdr:to>
      <xdr:col>2</xdr:col>
      <xdr:colOff>47625</xdr:colOff>
      <xdr:row>67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039975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61</xdr:row>
      <xdr:rowOff>9525</xdr:rowOff>
    </xdr:from>
    <xdr:to>
      <xdr:col>13</xdr:col>
      <xdr:colOff>666750</xdr:colOff>
      <xdr:row>66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5182850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60</xdr:row>
      <xdr:rowOff>95250</xdr:rowOff>
    </xdr:from>
    <xdr:to>
      <xdr:col>2</xdr:col>
      <xdr:colOff>47625</xdr:colOff>
      <xdr:row>67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039975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61</xdr:row>
      <xdr:rowOff>9525</xdr:rowOff>
    </xdr:from>
    <xdr:to>
      <xdr:col>13</xdr:col>
      <xdr:colOff>666750</xdr:colOff>
      <xdr:row>66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5182850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61</xdr:row>
      <xdr:rowOff>95250</xdr:rowOff>
    </xdr:from>
    <xdr:to>
      <xdr:col>2</xdr:col>
      <xdr:colOff>47625</xdr:colOff>
      <xdr:row>68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039975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62</xdr:row>
      <xdr:rowOff>9525</xdr:rowOff>
    </xdr:from>
    <xdr:to>
      <xdr:col>13</xdr:col>
      <xdr:colOff>666750</xdr:colOff>
      <xdr:row>67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5182850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63</xdr:row>
      <xdr:rowOff>95250</xdr:rowOff>
    </xdr:from>
    <xdr:to>
      <xdr:col>2</xdr:col>
      <xdr:colOff>47625</xdr:colOff>
      <xdr:row>70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278100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64</xdr:row>
      <xdr:rowOff>9525</xdr:rowOff>
    </xdr:from>
    <xdr:to>
      <xdr:col>13</xdr:col>
      <xdr:colOff>666750</xdr:colOff>
      <xdr:row>69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5420975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28576</xdr:colOff>
      <xdr:row>63</xdr:row>
      <xdr:rowOff>95250</xdr:rowOff>
    </xdr:from>
    <xdr:to>
      <xdr:col>2</xdr:col>
      <xdr:colOff>47625</xdr:colOff>
      <xdr:row>70</xdr:row>
      <xdr:rowOff>190500</xdr:rowOff>
    </xdr:to>
    <xdr:pic>
      <xdr:nvPicPr>
        <xdr:cNvPr id="2" name="Picture 1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65d8b422-aa67-44be-9e24-1fb41c898d5b,_ANDesc=img,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6" y="15754350"/>
          <a:ext cx="1219199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1</xdr:row>
      <xdr:rowOff>57152</xdr:rowOff>
    </xdr:from>
    <xdr:to>
      <xdr:col>1</xdr:col>
      <xdr:colOff>609599</xdr:colOff>
      <xdr:row>3</xdr:row>
      <xdr:rowOff>200025</xdr:rowOff>
    </xdr:to>
    <xdr:pic>
      <xdr:nvPicPr>
        <xdr:cNvPr id="3" name="Picture 2" descr="https://web.nsoft.in/prx/000/http/192.168.3.13:116/Reserved.ReportViewerWebControl.axd?Mode=true&amp;ReportID=6156d3e3e9644b18b5300ecb7d4e9dca&amp;ControlID=ddf2052b-3262-4722-96d2-dae3c43c2e55&amp;Culture=1033&amp;UICulture=1033&amp;ReportStack=1&amp;OpType=ReportImage&amp;StreamID=ef3d498f-d33e-4fb2-8f3b-71719df5e3e1,_ANDesc=img,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7652"/>
          <a:ext cx="419099" cy="6191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19050</xdr:colOff>
      <xdr:row>64</xdr:row>
      <xdr:rowOff>9525</xdr:rowOff>
    </xdr:from>
    <xdr:to>
      <xdr:col>13</xdr:col>
      <xdr:colOff>666750</xdr:colOff>
      <xdr:row>69</xdr:row>
      <xdr:rowOff>219075</xdr:rowOff>
    </xdr:to>
    <xdr:pic>
      <xdr:nvPicPr>
        <xdr:cNvPr id="4" name="Picture 3" descr="b410c3ae-a596-4422-ac86-517fe9d7595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15897225"/>
          <a:ext cx="2724150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MGHT37%20Aug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3048568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16" zoomScaleNormal="100" workbookViewId="0">
      <selection activeCell="E25" sqref="E25"/>
    </sheetView>
  </sheetViews>
  <sheetFormatPr defaultRowHeight="15" x14ac:dyDescent="0.25"/>
  <cols>
    <col min="1" max="1" width="1.7109375" customWidth="1"/>
    <col min="2" max="2" width="18" customWidth="1"/>
    <col min="3" max="3" width="1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20" width="8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ROUND(O49,0)</f>
        <v>-466096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4">
        <v>1700474</v>
      </c>
      <c r="D7" s="180" t="s">
        <v>10</v>
      </c>
      <c r="E7" s="180"/>
      <c r="F7" s="180" t="s">
        <v>138</v>
      </c>
      <c r="G7" s="180"/>
      <c r="H7" s="180" t="s">
        <v>139</v>
      </c>
      <c r="I7" s="180"/>
      <c r="J7" s="181">
        <v>45658</v>
      </c>
      <c r="K7" s="181"/>
      <c r="L7" s="181">
        <v>45672</v>
      </c>
      <c r="M7" s="181"/>
      <c r="N7" s="181">
        <v>45686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thickBot="1" x14ac:dyDescent="0.3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287.60000000000002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41" t="s">
        <v>18</v>
      </c>
      <c r="K11" s="185" t="s">
        <v>19</v>
      </c>
      <c r="L11" s="186"/>
      <c r="M11" s="186"/>
      <c r="N11" s="187"/>
      <c r="O11" s="57"/>
      <c r="P11" s="160"/>
      <c r="Q11" s="58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41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160"/>
      <c r="Q12" s="59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160"/>
      <c r="Q13" s="60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160"/>
      <c r="Q14" s="51" t="s">
        <v>31</v>
      </c>
      <c r="R14" s="86"/>
      <c r="S14" s="86"/>
      <c r="T14" s="86">
        <f>+R14+S14</f>
        <v>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160"/>
      <c r="Q15" s="62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12595.1</v>
      </c>
      <c r="D19" s="15">
        <v>0.14380000000000001</v>
      </c>
      <c r="E19" s="16">
        <v>4297.58</v>
      </c>
      <c r="F19" s="16">
        <v>4319.3999999999996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11718</v>
      </c>
      <c r="D20" s="87">
        <v>0</v>
      </c>
      <c r="E20" s="16">
        <v>4291.4399999999996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877.10000000000036</v>
      </c>
      <c r="D21" s="24">
        <f>+D19</f>
        <v>0.14380000000000001</v>
      </c>
      <c r="E21" s="87">
        <f>+E19-E20</f>
        <v>6.1400000000003274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877.10000000000036</v>
      </c>
      <c r="D23" s="33">
        <f>+D21*D22</f>
        <v>287.60000000000002</v>
      </c>
      <c r="E23" s="33">
        <f>+E22*E21</f>
        <v>12280.000000000655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8.75" customHeight="1" x14ac:dyDescent="0.25">
      <c r="A24" s="156"/>
      <c r="B24" s="90" t="s">
        <v>61</v>
      </c>
      <c r="C24" s="74">
        <v>0</v>
      </c>
      <c r="D24" s="33">
        <v>0</v>
      </c>
      <c r="E24" s="50">
        <f>+O12+J12+J13+O13+J16</f>
        <v>0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877.10000000000036</v>
      </c>
      <c r="D25" s="76">
        <f>+D23</f>
        <v>287.60000000000002</v>
      </c>
      <c r="E25" s="77">
        <f>+E23-E24</f>
        <v>12280.000000000655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>
        <f>+E23-C25</f>
        <v>11402.900000000654</v>
      </c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(F33+F34+O22+O23+F35+F36+O20)*9/100</f>
        <v>8459.4654000004066</v>
      </c>
      <c r="P28" s="160"/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340</v>
      </c>
      <c r="F29" s="213">
        <f>+D29*E29</f>
        <v>110160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/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0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+T38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7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0" ht="18.75" customHeight="1" x14ac:dyDescent="0.25">
      <c r="A33" s="156"/>
      <c r="B33" s="211" t="s">
        <v>77</v>
      </c>
      <c r="C33" s="212"/>
      <c r="D33" s="34">
        <f>+E25-C25+1202.5</f>
        <v>12605.400000000654</v>
      </c>
      <c r="E33" s="34">
        <v>6.9</v>
      </c>
      <c r="F33" s="229">
        <f t="shared" si="2"/>
        <v>86977.26000000452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0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30"/>
      <c r="S34" s="23">
        <f>+E24-E24</f>
        <v>0</v>
      </c>
      <c r="T34" s="30">
        <f>+S34*E33</f>
        <v>0</v>
      </c>
    </row>
    <row r="35" spans="1:20" ht="18.75" customHeight="1" x14ac:dyDescent="0.25">
      <c r="A35" s="156"/>
      <c r="B35" s="211" t="s">
        <v>129</v>
      </c>
      <c r="C35" s="212"/>
      <c r="D35" s="34">
        <f>+C25</f>
        <v>877.10000000000036</v>
      </c>
      <c r="E35" s="34">
        <v>8</v>
      </c>
      <c r="F35" s="229">
        <f t="shared" si="2"/>
        <v>7016.8000000000029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30"/>
      <c r="S35" s="23"/>
      <c r="T35" s="30">
        <f>+S35*E34</f>
        <v>0</v>
      </c>
    </row>
    <row r="36" spans="1:20" ht="18.75" customHeight="1" x14ac:dyDescent="0.25">
      <c r="A36" s="156"/>
      <c r="B36" s="211" t="s">
        <v>130</v>
      </c>
      <c r="C36" s="212"/>
      <c r="D36" s="37"/>
      <c r="E36" s="34"/>
      <c r="F36" s="229">
        <f t="shared" si="2"/>
        <v>0</v>
      </c>
      <c r="G36" s="230"/>
      <c r="H36" s="242" t="s">
        <v>81</v>
      </c>
      <c r="I36" s="243"/>
      <c r="J36" s="243"/>
      <c r="K36" s="243"/>
      <c r="L36" s="243"/>
      <c r="M36" s="243"/>
      <c r="N36" s="244"/>
      <c r="O36" s="69">
        <f>+O28+O29+O30+O31+O32+O33+O34</f>
        <v>8459.4654000004066</v>
      </c>
      <c r="P36" s="160"/>
      <c r="R36" s="30"/>
      <c r="S36" s="30"/>
      <c r="T36" s="36"/>
    </row>
    <row r="37" spans="1:20" ht="18.75" customHeight="1" thickBot="1" x14ac:dyDescent="0.3">
      <c r="A37" s="156"/>
      <c r="B37" s="211" t="s">
        <v>82</v>
      </c>
      <c r="C37" s="212"/>
      <c r="D37" s="50">
        <f>+E25</f>
        <v>12280.000000000655</v>
      </c>
      <c r="E37" s="34">
        <v>0</v>
      </c>
      <c r="F37" s="229">
        <f t="shared" si="2"/>
        <v>0</v>
      </c>
      <c r="G37" s="230"/>
      <c r="H37" s="215" t="s">
        <v>83</v>
      </c>
      <c r="I37" s="216"/>
      <c r="J37" s="216"/>
      <c r="K37" s="216"/>
      <c r="L37" s="216"/>
      <c r="M37" s="216"/>
      <c r="N37" s="217"/>
      <c r="O37" s="75">
        <v>0</v>
      </c>
      <c r="P37" s="160"/>
      <c r="R37" s="43" t="s">
        <v>16</v>
      </c>
      <c r="S37" s="30">
        <f>SUM(S34:S35)</f>
        <v>0</v>
      </c>
      <c r="T37" s="36">
        <f>SUM(T34:T35)</f>
        <v>0</v>
      </c>
    </row>
    <row r="38" spans="1:20" s="39" customFormat="1" ht="18.75" customHeight="1" thickBot="1" x14ac:dyDescent="0.3">
      <c r="A38" s="156"/>
      <c r="B38" s="234" t="s">
        <v>131</v>
      </c>
      <c r="C38" s="235"/>
      <c r="D38" s="83"/>
      <c r="E38" s="38"/>
      <c r="F38" s="229">
        <v>0</v>
      </c>
      <c r="G38" s="230"/>
      <c r="H38" s="236" t="s">
        <v>132</v>
      </c>
      <c r="I38" s="237"/>
      <c r="J38" s="237"/>
      <c r="K38" s="237"/>
      <c r="L38" s="237"/>
      <c r="M38" s="237"/>
      <c r="N38" s="238"/>
      <c r="O38" s="69">
        <v>0</v>
      </c>
      <c r="P38" s="160"/>
      <c r="Q38" s="2">
        <v>-2441.7800000000002</v>
      </c>
      <c r="R38" s="2"/>
      <c r="S38" s="7" t="s">
        <v>84</v>
      </c>
      <c r="T38" s="82">
        <f>+T37*9/100</f>
        <v>0</v>
      </c>
    </row>
    <row r="39" spans="1:20" ht="18.75" customHeight="1" x14ac:dyDescent="0.25">
      <c r="A39" s="156"/>
      <c r="B39" s="211" t="s">
        <v>85</v>
      </c>
      <c r="C39" s="212"/>
      <c r="D39" s="35"/>
      <c r="E39" s="25"/>
      <c r="F39" s="229">
        <f>+O25</f>
        <v>0</v>
      </c>
      <c r="G39" s="230"/>
      <c r="H39" s="226" t="s">
        <v>86</v>
      </c>
      <c r="I39" s="227"/>
      <c r="J39" s="227"/>
      <c r="K39" s="227"/>
      <c r="L39" s="227"/>
      <c r="M39" s="227"/>
      <c r="N39" s="228"/>
      <c r="O39" s="69">
        <f>+O37+O38</f>
        <v>0</v>
      </c>
      <c r="P39" s="160"/>
      <c r="Q39" s="81">
        <f>+F37-Q38</f>
        <v>2441.7800000000002</v>
      </c>
      <c r="R39" s="39"/>
      <c r="S39" s="39"/>
      <c r="T39" s="39"/>
    </row>
    <row r="40" spans="1:20" ht="28.5" customHeight="1" x14ac:dyDescent="0.25">
      <c r="A40" s="156"/>
      <c r="B40" s="211" t="s">
        <v>87</v>
      </c>
      <c r="C40" s="212"/>
      <c r="D40" s="25"/>
      <c r="E40" s="25"/>
      <c r="F40" s="213">
        <v>-2301.35</v>
      </c>
      <c r="G40" s="214"/>
      <c r="H40" s="226" t="s">
        <v>88</v>
      </c>
      <c r="I40" s="227"/>
      <c r="J40" s="227"/>
      <c r="K40" s="227"/>
      <c r="L40" s="227"/>
      <c r="M40" s="227"/>
      <c r="N40" s="228"/>
      <c r="O40" s="69">
        <f>+F29+F30+F31+F32+F33+F34+F35+F36+F37+F38+F39+F40+F41+F42+F43+F44+F45+F46+F47+F48+F49+F50+O36+O39+F51</f>
        <v>210312.17540000493</v>
      </c>
      <c r="P40" s="160"/>
      <c r="R40" s="2"/>
    </row>
    <row r="41" spans="1:20" ht="18.75" customHeight="1" x14ac:dyDescent="0.25">
      <c r="A41" s="156"/>
      <c r="B41" s="218" t="s">
        <v>89</v>
      </c>
      <c r="C41" s="219"/>
      <c r="D41" s="25"/>
      <c r="E41" s="25"/>
      <c r="F41" s="213">
        <v>0</v>
      </c>
      <c r="G41" s="214"/>
      <c r="H41" s="226" t="s">
        <v>90</v>
      </c>
      <c r="I41" s="227"/>
      <c r="J41" s="227"/>
      <c r="K41" s="227"/>
      <c r="L41" s="227"/>
      <c r="M41" s="227"/>
      <c r="N41" s="228"/>
      <c r="O41" s="75" t="s">
        <v>68</v>
      </c>
      <c r="P41" s="160"/>
    </row>
    <row r="42" spans="1:20" ht="18.75" customHeight="1" x14ac:dyDescent="0.25">
      <c r="A42" s="156"/>
      <c r="B42" s="211" t="s">
        <v>91</v>
      </c>
      <c r="C42" s="212"/>
      <c r="D42" s="25"/>
      <c r="E42" s="25"/>
      <c r="F42" s="213">
        <v>0</v>
      </c>
      <c r="G42" s="214"/>
      <c r="H42" s="224"/>
      <c r="I42" s="245"/>
      <c r="J42" s="245"/>
      <c r="K42" s="245"/>
      <c r="L42" s="245"/>
      <c r="M42" s="245"/>
      <c r="N42" s="225"/>
      <c r="O42" s="75"/>
      <c r="P42" s="160"/>
    </row>
    <row r="43" spans="1:20" ht="18.75" customHeight="1" x14ac:dyDescent="0.25">
      <c r="A43" s="156"/>
      <c r="B43" s="218" t="s">
        <v>133</v>
      </c>
      <c r="C43" s="219"/>
      <c r="D43" s="25"/>
      <c r="E43" s="25"/>
      <c r="F43" s="213">
        <v>0</v>
      </c>
      <c r="G43" s="214"/>
      <c r="H43" s="215" t="s">
        <v>92</v>
      </c>
      <c r="I43" s="216"/>
      <c r="J43" s="216"/>
      <c r="K43" s="216"/>
      <c r="L43" s="216"/>
      <c r="M43" s="216"/>
      <c r="N43" s="217"/>
      <c r="O43" s="69">
        <v>-676408</v>
      </c>
      <c r="P43" s="160"/>
    </row>
    <row r="44" spans="1:20" ht="21" customHeight="1" x14ac:dyDescent="0.25">
      <c r="A44" s="156"/>
      <c r="B44" s="218" t="s">
        <v>134</v>
      </c>
      <c r="C44" s="219"/>
      <c r="D44" s="33">
        <f>+J13</f>
        <v>0</v>
      </c>
      <c r="E44" s="33">
        <v>1.92</v>
      </c>
      <c r="F44" s="213">
        <f>+D44*E44</f>
        <v>0</v>
      </c>
      <c r="G44" s="214"/>
      <c r="H44" s="215" t="s">
        <v>84</v>
      </c>
      <c r="I44" s="216"/>
      <c r="J44" s="216"/>
      <c r="K44" s="216"/>
      <c r="L44" s="216"/>
      <c r="M44" s="216"/>
      <c r="N44" s="217"/>
      <c r="O44" s="69">
        <v>0</v>
      </c>
      <c r="P44" s="160"/>
    </row>
    <row r="45" spans="1:20" ht="29.25" customHeight="1" x14ac:dyDescent="0.25">
      <c r="A45" s="156"/>
      <c r="B45" s="218" t="s">
        <v>135</v>
      </c>
      <c r="C45" s="219"/>
      <c r="D45" s="33">
        <f>+O13</f>
        <v>0</v>
      </c>
      <c r="E45" s="33">
        <v>1.92</v>
      </c>
      <c r="F45" s="246">
        <f>+D45*E45</f>
        <v>0</v>
      </c>
      <c r="G45" s="247"/>
      <c r="H45" s="215" t="s">
        <v>93</v>
      </c>
      <c r="I45" s="216"/>
      <c r="J45" s="216"/>
      <c r="K45" s="216"/>
      <c r="L45" s="216"/>
      <c r="M45" s="216"/>
      <c r="N45" s="217"/>
      <c r="O45" s="69">
        <v>0</v>
      </c>
      <c r="P45" s="160"/>
      <c r="Q45" s="84"/>
      <c r="R45" s="2"/>
    </row>
    <row r="46" spans="1:20" ht="18.75" customHeight="1" x14ac:dyDescent="0.25">
      <c r="A46" s="156"/>
      <c r="B46" s="218" t="s">
        <v>94</v>
      </c>
      <c r="C46" s="219"/>
      <c r="D46" s="33">
        <f>+J13</f>
        <v>0</v>
      </c>
      <c r="E46" s="34">
        <v>1.37</v>
      </c>
      <c r="F46" s="213">
        <f>+D46*E46</f>
        <v>0</v>
      </c>
      <c r="G46" s="214"/>
      <c r="H46" s="215" t="s">
        <v>95</v>
      </c>
      <c r="I46" s="216"/>
      <c r="J46" s="216"/>
      <c r="K46" s="216"/>
      <c r="L46" s="216"/>
      <c r="M46" s="216"/>
      <c r="N46" s="217"/>
      <c r="O46" s="69">
        <v>0</v>
      </c>
      <c r="P46" s="160"/>
      <c r="R46" s="2"/>
    </row>
    <row r="47" spans="1:20" ht="29.25" customHeight="1" x14ac:dyDescent="0.25">
      <c r="A47" s="156"/>
      <c r="B47" s="218" t="s">
        <v>96</v>
      </c>
      <c r="C47" s="219"/>
      <c r="D47" s="33">
        <f>+O12+O13</f>
        <v>0</v>
      </c>
      <c r="E47" s="34">
        <v>0.82</v>
      </c>
      <c r="F47" s="246">
        <f>+D47*E47</f>
        <v>0</v>
      </c>
      <c r="G47" s="247"/>
      <c r="H47" s="226" t="s">
        <v>97</v>
      </c>
      <c r="I47" s="227"/>
      <c r="J47" s="227"/>
      <c r="K47" s="227"/>
      <c r="L47" s="227"/>
      <c r="M47" s="227"/>
      <c r="N47" s="228"/>
      <c r="O47" s="69">
        <f>+O42+O43+O44+O45+O46</f>
        <v>-676408</v>
      </c>
      <c r="P47" s="160"/>
      <c r="R47" s="2"/>
      <c r="S47" s="2"/>
    </row>
    <row r="48" spans="1:20" ht="18.75" customHeight="1" x14ac:dyDescent="0.25">
      <c r="A48" s="156"/>
      <c r="B48" s="218" t="s">
        <v>98</v>
      </c>
      <c r="C48" s="219"/>
      <c r="D48" s="33">
        <f>+O16</f>
        <v>0</v>
      </c>
      <c r="E48" s="34">
        <v>-1.9</v>
      </c>
      <c r="F48" s="246">
        <f>+D48*E48</f>
        <v>0</v>
      </c>
      <c r="G48" s="247"/>
      <c r="H48" s="226" t="s">
        <v>99</v>
      </c>
      <c r="I48" s="227"/>
      <c r="J48" s="227"/>
      <c r="K48" s="227"/>
      <c r="L48" s="227"/>
      <c r="M48" s="227"/>
      <c r="N48" s="228"/>
      <c r="O48" s="85">
        <f>+O40+O47</f>
        <v>-466095.82459999504</v>
      </c>
      <c r="P48" s="160"/>
      <c r="Q48" s="2"/>
      <c r="R48" s="2"/>
      <c r="S48" s="2"/>
    </row>
    <row r="49" spans="1:20" ht="18.75" customHeight="1" x14ac:dyDescent="0.25">
      <c r="A49" s="156"/>
      <c r="B49" s="174" t="s">
        <v>100</v>
      </c>
      <c r="C49" s="175"/>
      <c r="D49" s="40"/>
      <c r="E49" s="87">
        <v>0</v>
      </c>
      <c r="F49" s="213">
        <v>0</v>
      </c>
      <c r="G49" s="214"/>
      <c r="H49" s="226" t="s">
        <v>101</v>
      </c>
      <c r="I49" s="227"/>
      <c r="J49" s="227"/>
      <c r="K49" s="227"/>
      <c r="L49" s="227"/>
      <c r="M49" s="227"/>
      <c r="N49" s="228"/>
      <c r="O49" s="85">
        <f>+O48</f>
        <v>-466095.82459999504</v>
      </c>
      <c r="P49" s="160"/>
      <c r="Q49" s="2">
        <v>213292</v>
      </c>
      <c r="R49" s="2">
        <f>+O48-Q49</f>
        <v>-679387.82459999504</v>
      </c>
      <c r="S49" s="2"/>
      <c r="T49" s="2"/>
    </row>
    <row r="50" spans="1:20" ht="27.75" customHeight="1" x14ac:dyDescent="0.25">
      <c r="A50" s="156"/>
      <c r="B50" s="183" t="s">
        <v>136</v>
      </c>
      <c r="C50" s="184"/>
      <c r="D50" s="11"/>
      <c r="E50" s="11"/>
      <c r="F50" s="248">
        <v>0</v>
      </c>
      <c r="G50" s="248"/>
      <c r="H50" s="249"/>
      <c r="I50" s="249"/>
      <c r="J50" s="249"/>
      <c r="K50" s="249"/>
      <c r="L50" s="249"/>
      <c r="M50" s="249"/>
      <c r="N50" s="249"/>
      <c r="O50" s="92"/>
      <c r="P50" s="160"/>
      <c r="R50" s="2"/>
      <c r="S50" s="2"/>
      <c r="T50" s="2"/>
    </row>
    <row r="51" spans="1:20" ht="18.75" customHeight="1" x14ac:dyDescent="0.25">
      <c r="A51" s="156"/>
      <c r="B51" s="174" t="s">
        <v>102</v>
      </c>
      <c r="C51" s="175"/>
      <c r="D51" s="42">
        <f>+J16</f>
        <v>0</v>
      </c>
      <c r="E51" s="42">
        <v>0.32</v>
      </c>
      <c r="F51" s="177">
        <f>+D51*E51</f>
        <v>0</v>
      </c>
      <c r="G51" s="178"/>
      <c r="H51" s="176"/>
      <c r="I51" s="176"/>
      <c r="J51" s="176"/>
      <c r="K51" s="176"/>
      <c r="L51" s="176"/>
      <c r="M51" s="176"/>
      <c r="N51" s="176"/>
      <c r="O51" s="92"/>
      <c r="P51" s="160"/>
      <c r="R51" s="2"/>
      <c r="S51" s="2"/>
      <c r="T51" s="2"/>
    </row>
    <row r="52" spans="1:20" ht="18.75" customHeight="1" x14ac:dyDescent="0.25">
      <c r="A52" s="156"/>
      <c r="B52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--------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8"/>
      <c r="P52" s="160"/>
      <c r="Q52" s="2"/>
      <c r="R52" s="2"/>
      <c r="S52" s="2"/>
    </row>
    <row r="53" spans="1:20" ht="18.75" customHeight="1" x14ac:dyDescent="0.25">
      <c r="A53" s="156"/>
      <c r="B53" s="174" t="s">
        <v>103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69"/>
      <c r="P53" s="160"/>
      <c r="Q53" s="2"/>
      <c r="R53" s="2"/>
    </row>
    <row r="54" spans="1:20" ht="18.75" customHeight="1" x14ac:dyDescent="0.25">
      <c r="A54" s="156"/>
      <c r="B54" s="174" t="s">
        <v>104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69"/>
      <c r="P54" s="160"/>
    </row>
    <row r="55" spans="1:20" ht="18.75" customHeight="1" thickBot="1" x14ac:dyDescent="0.3">
      <c r="A55" s="156"/>
      <c r="B55" s="258" t="s">
        <v>105</v>
      </c>
      <c r="C55" s="259"/>
      <c r="D55" s="270"/>
      <c r="E55" s="13" t="s">
        <v>106</v>
      </c>
      <c r="F55" s="13">
        <v>0</v>
      </c>
      <c r="G55" s="13"/>
      <c r="H55" s="271" t="s">
        <v>107</v>
      </c>
      <c r="I55" s="270"/>
      <c r="J55" s="13">
        <v>0</v>
      </c>
      <c r="K55" s="44"/>
      <c r="L55" s="44"/>
      <c r="M55" s="44"/>
      <c r="N55" s="272"/>
      <c r="O55" s="273"/>
      <c r="P55" s="160"/>
    </row>
    <row r="56" spans="1:20" ht="18.75" customHeight="1" thickBot="1" x14ac:dyDescent="0.3">
      <c r="A56" s="156"/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160"/>
    </row>
    <row r="57" spans="1:20" ht="21" customHeight="1" x14ac:dyDescent="0.25">
      <c r="A57" s="156"/>
      <c r="B57" s="252" t="s">
        <v>108</v>
      </c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4"/>
      <c r="P57" s="160"/>
      <c r="Q57" s="2"/>
      <c r="R57" s="2"/>
    </row>
    <row r="58" spans="1:20" ht="25.5" customHeight="1" x14ac:dyDescent="0.25">
      <c r="A58" s="156"/>
      <c r="B58" s="255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7"/>
      <c r="P58" s="160"/>
      <c r="Q58" s="2"/>
    </row>
    <row r="59" spans="1:20" ht="18" customHeight="1" thickBot="1" x14ac:dyDescent="0.3">
      <c r="A59" s="156"/>
      <c r="B59" s="258" t="s">
        <v>109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60"/>
      <c r="P59" s="160"/>
      <c r="Q59" s="2"/>
    </row>
    <row r="60" spans="1:20" x14ac:dyDescent="0.25">
      <c r="A60" s="156"/>
      <c r="B60" s="26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160"/>
    </row>
    <row r="61" spans="1:20" ht="18" customHeight="1" x14ac:dyDescent="0.25">
      <c r="A61" s="156"/>
      <c r="B61" s="263"/>
      <c r="C61" s="264"/>
      <c r="D61" s="265" t="s">
        <v>110</v>
      </c>
      <c r="E61" s="265"/>
      <c r="F61" s="265"/>
      <c r="G61" s="265"/>
      <c r="H61" s="265"/>
      <c r="I61" s="45"/>
      <c r="J61" s="45"/>
      <c r="K61" s="46"/>
      <c r="L61" s="46"/>
      <c r="M61" s="46"/>
      <c r="N61" s="46"/>
      <c r="O61" s="46"/>
      <c r="P61" s="160"/>
    </row>
    <row r="62" spans="1:20" ht="18" customHeight="1" x14ac:dyDescent="0.25">
      <c r="A62" s="156"/>
      <c r="B62" s="47"/>
      <c r="C62" s="46"/>
      <c r="D62" s="274" t="s">
        <v>111</v>
      </c>
      <c r="E62" s="274"/>
      <c r="F62" s="274" t="s">
        <v>112</v>
      </c>
      <c r="G62" s="274"/>
      <c r="H62" s="274"/>
      <c r="I62" s="46"/>
      <c r="J62" s="46"/>
      <c r="K62" s="46"/>
      <c r="L62" s="46"/>
      <c r="M62" s="46"/>
      <c r="N62" s="46"/>
      <c r="O62" s="46"/>
      <c r="P62" s="160"/>
    </row>
    <row r="63" spans="1:20" ht="18" customHeight="1" x14ac:dyDescent="0.25">
      <c r="A63" s="156"/>
      <c r="B63" s="47"/>
      <c r="C63" s="46"/>
      <c r="D63" s="274" t="s">
        <v>113</v>
      </c>
      <c r="E63" s="274"/>
      <c r="F63" s="274" t="s">
        <v>137</v>
      </c>
      <c r="G63" s="274"/>
      <c r="H63" s="274"/>
      <c r="I63" s="46"/>
      <c r="J63" s="46"/>
      <c r="K63" s="46"/>
      <c r="L63" s="46"/>
      <c r="M63" s="46"/>
      <c r="N63" s="46"/>
      <c r="O63" s="46"/>
      <c r="P63" s="160"/>
    </row>
    <row r="64" spans="1:20" ht="18" customHeight="1" x14ac:dyDescent="0.25">
      <c r="A64" s="156"/>
      <c r="B64" s="47"/>
      <c r="C64" s="46"/>
      <c r="D64" s="274" t="s">
        <v>114</v>
      </c>
      <c r="E64" s="274"/>
      <c r="F64" s="274" t="s">
        <v>115</v>
      </c>
      <c r="G64" s="274"/>
      <c r="H64" s="274"/>
      <c r="I64" s="45"/>
      <c r="J64" s="46"/>
      <c r="K64" s="46"/>
      <c r="L64" s="46"/>
      <c r="M64" s="46"/>
      <c r="N64" s="46"/>
      <c r="O64" s="46"/>
      <c r="P64" s="160"/>
    </row>
    <row r="65" spans="1:16" ht="18" customHeight="1" x14ac:dyDescent="0.25">
      <c r="A65" s="156"/>
      <c r="B65" s="47"/>
      <c r="C65" s="46"/>
      <c r="D65" s="274" t="s">
        <v>116</v>
      </c>
      <c r="E65" s="274"/>
      <c r="F65" s="274" t="s">
        <v>117</v>
      </c>
      <c r="G65" s="274"/>
      <c r="H65" s="274"/>
      <c r="I65" s="45"/>
      <c r="J65" s="46"/>
      <c r="K65" s="46"/>
      <c r="L65" s="46"/>
      <c r="M65" s="46"/>
      <c r="N65" s="46"/>
      <c r="O65" s="46"/>
      <c r="P65" s="160"/>
    </row>
    <row r="66" spans="1:16" x14ac:dyDescent="0.25">
      <c r="A66" s="156"/>
      <c r="B66" s="47"/>
      <c r="C66" s="46"/>
      <c r="D66" s="274" t="s">
        <v>118</v>
      </c>
      <c r="E66" s="274"/>
      <c r="F66" s="274" t="s">
        <v>119</v>
      </c>
      <c r="G66" s="274"/>
      <c r="H66" s="274"/>
      <c r="I66" s="45"/>
      <c r="J66" s="46"/>
      <c r="K66" s="46"/>
      <c r="L66" s="46"/>
      <c r="M66" s="46"/>
      <c r="N66" s="46"/>
      <c r="O66" s="46"/>
      <c r="P66" s="160"/>
    </row>
    <row r="67" spans="1:16" x14ac:dyDescent="0.25">
      <c r="A67" s="156"/>
      <c r="B67" s="47"/>
      <c r="C67" s="46"/>
      <c r="D67" s="274" t="s">
        <v>120</v>
      </c>
      <c r="E67" s="274"/>
      <c r="F67" s="275">
        <f>+O49</f>
        <v>-466095.82459999504</v>
      </c>
      <c r="G67" s="275"/>
      <c r="H67" s="275"/>
      <c r="I67" s="45"/>
      <c r="J67" s="46"/>
      <c r="K67" s="46"/>
      <c r="L67" s="46"/>
      <c r="M67" s="46"/>
      <c r="N67" s="46"/>
      <c r="O67" s="46"/>
      <c r="P67" s="160"/>
    </row>
    <row r="68" spans="1:16" ht="15.75" thickBot="1" x14ac:dyDescent="0.3">
      <c r="A68" s="15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161"/>
    </row>
  </sheetData>
  <mergeCells count="148">
    <mergeCell ref="D65:E65"/>
    <mergeCell ref="F65:H65"/>
    <mergeCell ref="D66:E66"/>
    <mergeCell ref="F66:H66"/>
    <mergeCell ref="D67:E67"/>
    <mergeCell ref="F67:H67"/>
    <mergeCell ref="D62:E62"/>
    <mergeCell ref="F62:H62"/>
    <mergeCell ref="D63:E63"/>
    <mergeCell ref="F63:H63"/>
    <mergeCell ref="D64:E64"/>
    <mergeCell ref="F64:H64"/>
    <mergeCell ref="B56:O56"/>
    <mergeCell ref="B57:O57"/>
    <mergeCell ref="B58:O58"/>
    <mergeCell ref="B59:O59"/>
    <mergeCell ref="B60:O60"/>
    <mergeCell ref="B61:C61"/>
    <mergeCell ref="D61:H61"/>
    <mergeCell ref="B52:O52"/>
    <mergeCell ref="B53:O53"/>
    <mergeCell ref="B54:O54"/>
    <mergeCell ref="B55:D55"/>
    <mergeCell ref="H55:I55"/>
    <mergeCell ref="N55:O55"/>
    <mergeCell ref="B49:C49"/>
    <mergeCell ref="F49:G49"/>
    <mergeCell ref="H49:N49"/>
    <mergeCell ref="B50:C50"/>
    <mergeCell ref="F50:G50"/>
    <mergeCell ref="H50:N50"/>
    <mergeCell ref="B47:C47"/>
    <mergeCell ref="F47:G47"/>
    <mergeCell ref="H47:N47"/>
    <mergeCell ref="B48:C48"/>
    <mergeCell ref="F48:G48"/>
    <mergeCell ref="H48:N48"/>
    <mergeCell ref="B45:C45"/>
    <mergeCell ref="F45:G45"/>
    <mergeCell ref="H45:N45"/>
    <mergeCell ref="B46:C46"/>
    <mergeCell ref="F46:G46"/>
    <mergeCell ref="H46:N46"/>
    <mergeCell ref="B43:C43"/>
    <mergeCell ref="F43:G43"/>
    <mergeCell ref="H43:N43"/>
    <mergeCell ref="B44:C44"/>
    <mergeCell ref="F44:G44"/>
    <mergeCell ref="H44:N44"/>
    <mergeCell ref="B41:C41"/>
    <mergeCell ref="F41:G41"/>
    <mergeCell ref="H41:N41"/>
    <mergeCell ref="B42:C42"/>
    <mergeCell ref="F42:G42"/>
    <mergeCell ref="H42:N42"/>
    <mergeCell ref="B39:C39"/>
    <mergeCell ref="F39:G39"/>
    <mergeCell ref="H39:N39"/>
    <mergeCell ref="B40:C40"/>
    <mergeCell ref="F40:G40"/>
    <mergeCell ref="H40:N40"/>
    <mergeCell ref="B37:C37"/>
    <mergeCell ref="F37:G37"/>
    <mergeCell ref="H37:N37"/>
    <mergeCell ref="B38:C38"/>
    <mergeCell ref="F38:G38"/>
    <mergeCell ref="H38:N38"/>
    <mergeCell ref="B35:C35"/>
    <mergeCell ref="F35:G35"/>
    <mergeCell ref="H35:N35"/>
    <mergeCell ref="B36:C36"/>
    <mergeCell ref="F36:G36"/>
    <mergeCell ref="H36:N36"/>
    <mergeCell ref="B33:C33"/>
    <mergeCell ref="F33:G33"/>
    <mergeCell ref="H33:N33"/>
    <mergeCell ref="B34:C34"/>
    <mergeCell ref="F34:G34"/>
    <mergeCell ref="H34:N34"/>
    <mergeCell ref="B31:C31"/>
    <mergeCell ref="F31:G31"/>
    <mergeCell ref="H31:N31"/>
    <mergeCell ref="B32:C32"/>
    <mergeCell ref="F32:G32"/>
    <mergeCell ref="H32:N32"/>
    <mergeCell ref="B29:C29"/>
    <mergeCell ref="F29:G29"/>
    <mergeCell ref="H29:N29"/>
    <mergeCell ref="B30:C30"/>
    <mergeCell ref="F30:G30"/>
    <mergeCell ref="H30:N30"/>
    <mergeCell ref="B17:O17"/>
    <mergeCell ref="H18:O18"/>
    <mergeCell ref="B26:O26"/>
    <mergeCell ref="B27:G27"/>
    <mergeCell ref="H27:O27"/>
    <mergeCell ref="B28:C28"/>
    <mergeCell ref="F28:G28"/>
    <mergeCell ref="H28:N28"/>
    <mergeCell ref="B15:E15"/>
    <mergeCell ref="F15:I15"/>
    <mergeCell ref="K15:N15"/>
    <mergeCell ref="Q16:S16"/>
    <mergeCell ref="B16:E16"/>
    <mergeCell ref="F16:I16"/>
    <mergeCell ref="K16:N16"/>
    <mergeCell ref="B13:E13"/>
    <mergeCell ref="F13:I13"/>
    <mergeCell ref="K13:N13"/>
    <mergeCell ref="B14:E14"/>
    <mergeCell ref="F14:I14"/>
    <mergeCell ref="K14:N14"/>
    <mergeCell ref="F11:I11"/>
    <mergeCell ref="K11:N11"/>
    <mergeCell ref="B12:E12"/>
    <mergeCell ref="F12:I12"/>
    <mergeCell ref="K12:N12"/>
    <mergeCell ref="B8:O8"/>
    <mergeCell ref="B9:E9"/>
    <mergeCell ref="F9:I9"/>
    <mergeCell ref="K9:N9"/>
    <mergeCell ref="B10:E10"/>
    <mergeCell ref="F10:I10"/>
    <mergeCell ref="K10:N10"/>
    <mergeCell ref="A1:A68"/>
    <mergeCell ref="B1:O1"/>
    <mergeCell ref="P1:P68"/>
    <mergeCell ref="B2:B4"/>
    <mergeCell ref="C2:O2"/>
    <mergeCell ref="C3:O3"/>
    <mergeCell ref="C4:O4"/>
    <mergeCell ref="B5:O5"/>
    <mergeCell ref="D6:E6"/>
    <mergeCell ref="F6:G6"/>
    <mergeCell ref="B51:C51"/>
    <mergeCell ref="H51:N51"/>
    <mergeCell ref="F51:G51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B11:E11"/>
  </mergeCells>
  <pageMargins left="0.5" right="0.45" top="0.5" bottom="0.25" header="0.3" footer="0.3"/>
  <pageSetup paperSize="9" scale="59" orientation="portrait" verticalDpi="0" r:id="rId1"/>
  <colBreaks count="1" manualBreakCount="1">
    <brk id="16" max="1048575" man="1"/>
  </colBreaks>
  <ignoredErrors>
    <ignoredError sqref="D2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4" zoomScaleNormal="100" workbookViewId="0">
      <selection activeCell="D33" sqref="D33"/>
    </sheetView>
  </sheetViews>
  <sheetFormatPr defaultRowHeight="15" x14ac:dyDescent="0.25"/>
  <cols>
    <col min="1" max="1" width="1.7109375" customWidth="1"/>
    <col min="2" max="2" width="18" customWidth="1"/>
    <col min="3" max="3" width="1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20" width="8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ROUND(O49,0)</f>
        <v>164886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98">
        <v>1700474</v>
      </c>
      <c r="D7" s="180" t="s">
        <v>10</v>
      </c>
      <c r="E7" s="180"/>
      <c r="F7" s="180" t="s">
        <v>138</v>
      </c>
      <c r="G7" s="180"/>
      <c r="H7" s="180" t="s">
        <v>139</v>
      </c>
      <c r="I7" s="180"/>
      <c r="J7" s="181">
        <v>45658</v>
      </c>
      <c r="K7" s="181"/>
      <c r="L7" s="181">
        <v>45672</v>
      </c>
      <c r="M7" s="181"/>
      <c r="N7" s="181">
        <v>45686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thickBot="1" x14ac:dyDescent="0.3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278.39999999999998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95" t="s">
        <v>18</v>
      </c>
      <c r="K11" s="185" t="s">
        <v>19</v>
      </c>
      <c r="L11" s="186"/>
      <c r="M11" s="186"/>
      <c r="N11" s="187"/>
      <c r="O11" s="57"/>
      <c r="P11" s="160"/>
      <c r="Q11" s="58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95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160"/>
      <c r="Q12" s="59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160"/>
      <c r="Q13" s="60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160"/>
      <c r="Q14" s="96" t="s">
        <v>31</v>
      </c>
      <c r="R14" s="86"/>
      <c r="S14" s="86"/>
      <c r="T14" s="86">
        <f>+R14+S14</f>
        <v>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160"/>
      <c r="Q15" s="62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12595.1</v>
      </c>
      <c r="D19" s="15">
        <v>0.13919999999999999</v>
      </c>
      <c r="E19" s="16">
        <v>48.453000000000003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11718</v>
      </c>
      <c r="D20" s="95">
        <v>0</v>
      </c>
      <c r="E20" s="16">
        <v>0.36499999999999999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877.10000000000036</v>
      </c>
      <c r="D21" s="24">
        <f>+D19</f>
        <v>0.13919999999999999</v>
      </c>
      <c r="E21" s="95">
        <f>+E19-E20</f>
        <v>48.088000000000001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877.10000000000036</v>
      </c>
      <c r="D23" s="33">
        <f>+D21*D22</f>
        <v>278.39999999999998</v>
      </c>
      <c r="E23" s="33">
        <f>+E22*E21</f>
        <v>96176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8.75" customHeight="1" x14ac:dyDescent="0.25">
      <c r="A24" s="156"/>
      <c r="B24" s="90" t="s">
        <v>61</v>
      </c>
      <c r="C24" s="74">
        <v>0</v>
      </c>
      <c r="D24" s="33">
        <v>0</v>
      </c>
      <c r="E24" s="50">
        <f>+O12+J12+J13+O13+J16</f>
        <v>0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877.10000000000036</v>
      </c>
      <c r="D25" s="76">
        <f>+D23</f>
        <v>278.39999999999998</v>
      </c>
      <c r="E25" s="77">
        <f>+E23-E24</f>
        <v>96176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>
        <f>+E23-C25</f>
        <v>95298.9</v>
      </c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(F33+F34+O22+O23+F35+F36+O20)*9/100</f>
        <v>60558.881400000006</v>
      </c>
      <c r="P28" s="160"/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340</v>
      </c>
      <c r="F29" s="213">
        <f>+D29*E29</f>
        <v>110160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/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0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+T38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7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0" ht="18.75" customHeight="1" x14ac:dyDescent="0.25">
      <c r="A33" s="156"/>
      <c r="B33" s="211" t="s">
        <v>77</v>
      </c>
      <c r="C33" s="212"/>
      <c r="D33" s="34">
        <f>+E25-C25+1202.5</f>
        <v>96501.4</v>
      </c>
      <c r="E33" s="34">
        <v>6.9</v>
      </c>
      <c r="F33" s="229">
        <f t="shared" si="2"/>
        <v>665859.66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0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30"/>
      <c r="S34" s="23">
        <f>+E24-E24</f>
        <v>0</v>
      </c>
      <c r="T34" s="30">
        <f>+S34*E33</f>
        <v>0</v>
      </c>
    </row>
    <row r="35" spans="1:20" ht="18.75" customHeight="1" x14ac:dyDescent="0.25">
      <c r="A35" s="156"/>
      <c r="B35" s="211" t="s">
        <v>129</v>
      </c>
      <c r="C35" s="212"/>
      <c r="D35" s="34">
        <f>+C25</f>
        <v>877.10000000000036</v>
      </c>
      <c r="E35" s="34">
        <v>8</v>
      </c>
      <c r="F35" s="229">
        <f t="shared" si="2"/>
        <v>7016.8000000000029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30"/>
      <c r="S35" s="23"/>
      <c r="T35" s="30">
        <f>+S35*E34</f>
        <v>0</v>
      </c>
    </row>
    <row r="36" spans="1:20" ht="18.75" customHeight="1" x14ac:dyDescent="0.25">
      <c r="A36" s="156"/>
      <c r="B36" s="211" t="s">
        <v>130</v>
      </c>
      <c r="C36" s="212"/>
      <c r="D36" s="37"/>
      <c r="E36" s="34"/>
      <c r="F36" s="229">
        <f t="shared" si="2"/>
        <v>0</v>
      </c>
      <c r="G36" s="230"/>
      <c r="H36" s="242" t="s">
        <v>81</v>
      </c>
      <c r="I36" s="243"/>
      <c r="J36" s="243"/>
      <c r="K36" s="243"/>
      <c r="L36" s="243"/>
      <c r="M36" s="243"/>
      <c r="N36" s="244"/>
      <c r="O36" s="69">
        <f>+O28+O29+O30+O31+O32+O33+O34</f>
        <v>60558.881400000006</v>
      </c>
      <c r="P36" s="160"/>
      <c r="R36" s="30"/>
      <c r="S36" s="30"/>
      <c r="T36" s="36"/>
    </row>
    <row r="37" spans="1:20" ht="18.75" customHeight="1" thickBot="1" x14ac:dyDescent="0.3">
      <c r="A37" s="156"/>
      <c r="B37" s="211" t="s">
        <v>82</v>
      </c>
      <c r="C37" s="212"/>
      <c r="D37" s="50">
        <f>+E25</f>
        <v>96176</v>
      </c>
      <c r="E37" s="34">
        <v>0</v>
      </c>
      <c r="F37" s="229">
        <f t="shared" si="2"/>
        <v>0</v>
      </c>
      <c r="G37" s="230"/>
      <c r="H37" s="215" t="s">
        <v>83</v>
      </c>
      <c r="I37" s="216"/>
      <c r="J37" s="216"/>
      <c r="K37" s="216"/>
      <c r="L37" s="216"/>
      <c r="M37" s="216"/>
      <c r="N37" s="217"/>
      <c r="O37" s="75">
        <v>0</v>
      </c>
      <c r="P37" s="160"/>
      <c r="R37" s="97" t="s">
        <v>16</v>
      </c>
      <c r="S37" s="30">
        <f>SUM(S34:S35)</f>
        <v>0</v>
      </c>
      <c r="T37" s="36">
        <f>SUM(T34:T35)</f>
        <v>0</v>
      </c>
    </row>
    <row r="38" spans="1:20" s="39" customFormat="1" ht="18.75" customHeight="1" thickBot="1" x14ac:dyDescent="0.3">
      <c r="A38" s="156"/>
      <c r="B38" s="234" t="s">
        <v>131</v>
      </c>
      <c r="C38" s="235"/>
      <c r="D38" s="83"/>
      <c r="E38" s="38"/>
      <c r="F38" s="229">
        <v>0</v>
      </c>
      <c r="G38" s="230"/>
      <c r="H38" s="236" t="s">
        <v>132</v>
      </c>
      <c r="I38" s="237"/>
      <c r="J38" s="237"/>
      <c r="K38" s="237"/>
      <c r="L38" s="237"/>
      <c r="M38" s="237"/>
      <c r="N38" s="238"/>
      <c r="O38" s="69">
        <v>0</v>
      </c>
      <c r="P38" s="160"/>
      <c r="Q38" s="2">
        <v>-2441.7800000000002</v>
      </c>
      <c r="R38" s="2"/>
      <c r="S38" s="7" t="s">
        <v>84</v>
      </c>
      <c r="T38" s="82">
        <f>+T37*9/100</f>
        <v>0</v>
      </c>
    </row>
    <row r="39" spans="1:20" ht="18.75" customHeight="1" x14ac:dyDescent="0.25">
      <c r="A39" s="156"/>
      <c r="B39" s="211" t="s">
        <v>85</v>
      </c>
      <c r="C39" s="212"/>
      <c r="D39" s="35"/>
      <c r="E39" s="25"/>
      <c r="F39" s="229">
        <f>+O25</f>
        <v>0</v>
      </c>
      <c r="G39" s="230"/>
      <c r="H39" s="226" t="s">
        <v>86</v>
      </c>
      <c r="I39" s="227"/>
      <c r="J39" s="227"/>
      <c r="K39" s="227"/>
      <c r="L39" s="227"/>
      <c r="M39" s="227"/>
      <c r="N39" s="228"/>
      <c r="O39" s="69">
        <f>+O37+O38</f>
        <v>0</v>
      </c>
      <c r="P39" s="160"/>
      <c r="Q39" s="81">
        <f>+F37-Q38</f>
        <v>2441.7800000000002</v>
      </c>
      <c r="R39" s="39"/>
      <c r="S39" s="39"/>
      <c r="T39" s="39"/>
    </row>
    <row r="40" spans="1:20" ht="28.5" customHeight="1" x14ac:dyDescent="0.25">
      <c r="A40" s="156"/>
      <c r="B40" s="211" t="s">
        <v>87</v>
      </c>
      <c r="C40" s="212"/>
      <c r="D40" s="25"/>
      <c r="E40" s="25"/>
      <c r="F40" s="213">
        <v>-2301.35</v>
      </c>
      <c r="G40" s="214"/>
      <c r="H40" s="226" t="s">
        <v>88</v>
      </c>
      <c r="I40" s="227"/>
      <c r="J40" s="227"/>
      <c r="K40" s="227"/>
      <c r="L40" s="227"/>
      <c r="M40" s="227"/>
      <c r="N40" s="228"/>
      <c r="O40" s="69">
        <f>+F29+F30+F31+F32+F33+F34+F35+F36+F37+F38+F39+F40+F41+F42+F43+F44+F45+F46+F47+F48+F49+F50+O36+O39+F51</f>
        <v>841293.99140000006</v>
      </c>
      <c r="P40" s="160"/>
      <c r="R40" s="2"/>
    </row>
    <row r="41" spans="1:20" ht="18.75" customHeight="1" x14ac:dyDescent="0.25">
      <c r="A41" s="156"/>
      <c r="B41" s="218" t="s">
        <v>89</v>
      </c>
      <c r="C41" s="219"/>
      <c r="D41" s="25"/>
      <c r="E41" s="25"/>
      <c r="F41" s="213">
        <v>0</v>
      </c>
      <c r="G41" s="214"/>
      <c r="H41" s="226" t="s">
        <v>90</v>
      </c>
      <c r="I41" s="227"/>
      <c r="J41" s="227"/>
      <c r="K41" s="227"/>
      <c r="L41" s="227"/>
      <c r="M41" s="227"/>
      <c r="N41" s="228"/>
      <c r="O41" s="75" t="s">
        <v>68</v>
      </c>
      <c r="P41" s="160"/>
    </row>
    <row r="42" spans="1:20" ht="18.75" customHeight="1" x14ac:dyDescent="0.25">
      <c r="A42" s="156"/>
      <c r="B42" s="211" t="s">
        <v>91</v>
      </c>
      <c r="C42" s="212"/>
      <c r="D42" s="25"/>
      <c r="E42" s="25"/>
      <c r="F42" s="213">
        <v>0</v>
      </c>
      <c r="G42" s="214"/>
      <c r="H42" s="224"/>
      <c r="I42" s="245"/>
      <c r="J42" s="245"/>
      <c r="K42" s="245"/>
      <c r="L42" s="245"/>
      <c r="M42" s="245"/>
      <c r="N42" s="225"/>
      <c r="O42" s="75"/>
      <c r="P42" s="160"/>
    </row>
    <row r="43" spans="1:20" ht="18.75" customHeight="1" x14ac:dyDescent="0.25">
      <c r="A43" s="156"/>
      <c r="B43" s="218" t="s">
        <v>133</v>
      </c>
      <c r="C43" s="219"/>
      <c r="D43" s="25"/>
      <c r="E43" s="25"/>
      <c r="F43" s="213">
        <v>0</v>
      </c>
      <c r="G43" s="214"/>
      <c r="H43" s="215" t="s">
        <v>92</v>
      </c>
      <c r="I43" s="216"/>
      <c r="J43" s="216"/>
      <c r="K43" s="216"/>
      <c r="L43" s="216"/>
      <c r="M43" s="216"/>
      <c r="N43" s="217"/>
      <c r="O43" s="69">
        <v>-676408</v>
      </c>
      <c r="P43" s="160"/>
    </row>
    <row r="44" spans="1:20" ht="21" customHeight="1" x14ac:dyDescent="0.25">
      <c r="A44" s="156"/>
      <c r="B44" s="218" t="s">
        <v>134</v>
      </c>
      <c r="C44" s="219"/>
      <c r="D44" s="33">
        <f>+J13</f>
        <v>0</v>
      </c>
      <c r="E44" s="33">
        <v>1.92</v>
      </c>
      <c r="F44" s="213">
        <f>+D44*E44</f>
        <v>0</v>
      </c>
      <c r="G44" s="214"/>
      <c r="H44" s="215" t="s">
        <v>84</v>
      </c>
      <c r="I44" s="216"/>
      <c r="J44" s="216"/>
      <c r="K44" s="216"/>
      <c r="L44" s="216"/>
      <c r="M44" s="216"/>
      <c r="N44" s="217"/>
      <c r="O44" s="69">
        <v>0</v>
      </c>
      <c r="P44" s="160"/>
    </row>
    <row r="45" spans="1:20" ht="29.25" customHeight="1" x14ac:dyDescent="0.25">
      <c r="A45" s="156"/>
      <c r="B45" s="218" t="s">
        <v>135</v>
      </c>
      <c r="C45" s="219"/>
      <c r="D45" s="33">
        <f>+O13</f>
        <v>0</v>
      </c>
      <c r="E45" s="33">
        <v>1.92</v>
      </c>
      <c r="F45" s="246">
        <f>+D45*E45</f>
        <v>0</v>
      </c>
      <c r="G45" s="247"/>
      <c r="H45" s="215" t="s">
        <v>93</v>
      </c>
      <c r="I45" s="216"/>
      <c r="J45" s="216"/>
      <c r="K45" s="216"/>
      <c r="L45" s="216"/>
      <c r="M45" s="216"/>
      <c r="N45" s="217"/>
      <c r="O45" s="69">
        <v>0</v>
      </c>
      <c r="P45" s="160"/>
      <c r="Q45" s="84"/>
      <c r="R45" s="2"/>
    </row>
    <row r="46" spans="1:20" ht="18.75" customHeight="1" x14ac:dyDescent="0.25">
      <c r="A46" s="156"/>
      <c r="B46" s="218" t="s">
        <v>94</v>
      </c>
      <c r="C46" s="219"/>
      <c r="D46" s="33">
        <f>+J13</f>
        <v>0</v>
      </c>
      <c r="E46" s="34">
        <v>1.37</v>
      </c>
      <c r="F46" s="213">
        <f>+D46*E46</f>
        <v>0</v>
      </c>
      <c r="G46" s="214"/>
      <c r="H46" s="215" t="s">
        <v>95</v>
      </c>
      <c r="I46" s="216"/>
      <c r="J46" s="216"/>
      <c r="K46" s="216"/>
      <c r="L46" s="216"/>
      <c r="M46" s="216"/>
      <c r="N46" s="217"/>
      <c r="O46" s="69">
        <v>0</v>
      </c>
      <c r="P46" s="160"/>
      <c r="R46" s="2"/>
    </row>
    <row r="47" spans="1:20" ht="29.25" customHeight="1" x14ac:dyDescent="0.25">
      <c r="A47" s="156"/>
      <c r="B47" s="218" t="s">
        <v>96</v>
      </c>
      <c r="C47" s="219"/>
      <c r="D47" s="33">
        <f>+O12+O13</f>
        <v>0</v>
      </c>
      <c r="E47" s="34">
        <v>0.82</v>
      </c>
      <c r="F47" s="246">
        <f>+D47*E47</f>
        <v>0</v>
      </c>
      <c r="G47" s="247"/>
      <c r="H47" s="226" t="s">
        <v>97</v>
      </c>
      <c r="I47" s="227"/>
      <c r="J47" s="227"/>
      <c r="K47" s="227"/>
      <c r="L47" s="227"/>
      <c r="M47" s="227"/>
      <c r="N47" s="228"/>
      <c r="O47" s="69">
        <f>+O42+O43+O44+O45+O46</f>
        <v>-676408</v>
      </c>
      <c r="P47" s="160"/>
      <c r="R47" s="2"/>
      <c r="S47" s="2"/>
    </row>
    <row r="48" spans="1:20" ht="18.75" customHeight="1" x14ac:dyDescent="0.25">
      <c r="A48" s="156"/>
      <c r="B48" s="218" t="s">
        <v>98</v>
      </c>
      <c r="C48" s="219"/>
      <c r="D48" s="33">
        <f>+O16</f>
        <v>0</v>
      </c>
      <c r="E48" s="34">
        <v>-1.9</v>
      </c>
      <c r="F48" s="246">
        <f>+D48*E48</f>
        <v>0</v>
      </c>
      <c r="G48" s="247"/>
      <c r="H48" s="226" t="s">
        <v>99</v>
      </c>
      <c r="I48" s="227"/>
      <c r="J48" s="227"/>
      <c r="K48" s="227"/>
      <c r="L48" s="227"/>
      <c r="M48" s="227"/>
      <c r="N48" s="228"/>
      <c r="O48" s="85">
        <f>+O40+O47</f>
        <v>164885.99140000006</v>
      </c>
      <c r="P48" s="160"/>
      <c r="Q48" s="2"/>
      <c r="R48" s="2"/>
      <c r="S48" s="2"/>
    </row>
    <row r="49" spans="1:20" ht="18.75" customHeight="1" x14ac:dyDescent="0.25">
      <c r="A49" s="156"/>
      <c r="B49" s="174" t="s">
        <v>100</v>
      </c>
      <c r="C49" s="175"/>
      <c r="D49" s="40"/>
      <c r="E49" s="95">
        <v>0</v>
      </c>
      <c r="F49" s="213">
        <v>0</v>
      </c>
      <c r="G49" s="214"/>
      <c r="H49" s="226" t="s">
        <v>101</v>
      </c>
      <c r="I49" s="227"/>
      <c r="J49" s="227"/>
      <c r="K49" s="227"/>
      <c r="L49" s="227"/>
      <c r="M49" s="227"/>
      <c r="N49" s="228"/>
      <c r="O49" s="85">
        <f>+O48</f>
        <v>164885.99140000006</v>
      </c>
      <c r="P49" s="160"/>
      <c r="Q49" s="2">
        <v>213292</v>
      </c>
      <c r="R49" s="2">
        <f>+O48-Q49</f>
        <v>-48406.008599999943</v>
      </c>
      <c r="S49" s="2"/>
      <c r="T49" s="2"/>
    </row>
    <row r="50" spans="1:20" ht="27.75" customHeight="1" x14ac:dyDescent="0.25">
      <c r="A50" s="156"/>
      <c r="B50" s="183" t="s">
        <v>136</v>
      </c>
      <c r="C50" s="184"/>
      <c r="D50" s="11"/>
      <c r="E50" s="11"/>
      <c r="F50" s="248">
        <v>0</v>
      </c>
      <c r="G50" s="248"/>
      <c r="H50" s="249"/>
      <c r="I50" s="249"/>
      <c r="J50" s="249"/>
      <c r="K50" s="249"/>
      <c r="L50" s="249"/>
      <c r="M50" s="249"/>
      <c r="N50" s="249"/>
      <c r="O50" s="92"/>
      <c r="P50" s="160"/>
      <c r="R50" s="2"/>
      <c r="S50" s="2"/>
      <c r="T50" s="2"/>
    </row>
    <row r="51" spans="1:20" ht="18.75" customHeight="1" x14ac:dyDescent="0.25">
      <c r="A51" s="156"/>
      <c r="B51" s="174" t="s">
        <v>102</v>
      </c>
      <c r="C51" s="175"/>
      <c r="D51" s="42">
        <f>+J16</f>
        <v>0</v>
      </c>
      <c r="E51" s="42">
        <v>0.32</v>
      </c>
      <c r="F51" s="177">
        <f>+D51*E51</f>
        <v>0</v>
      </c>
      <c r="G51" s="178"/>
      <c r="H51" s="176"/>
      <c r="I51" s="176"/>
      <c r="J51" s="176"/>
      <c r="K51" s="176"/>
      <c r="L51" s="176"/>
      <c r="M51" s="176"/>
      <c r="N51" s="176"/>
      <c r="O51" s="92"/>
      <c r="P51" s="160"/>
      <c r="R51" s="2"/>
      <c r="S51" s="2"/>
      <c r="T51" s="2"/>
    </row>
    <row r="52" spans="1:20" ht="18.75" customHeight="1" x14ac:dyDescent="0.25">
      <c r="A52" s="156"/>
      <c r="B52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One Hundred Sixty-Four Thousand Eight Hundred Eighty-Six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8"/>
      <c r="P52" s="160"/>
      <c r="Q52" s="2"/>
      <c r="R52" s="2"/>
      <c r="S52" s="2"/>
    </row>
    <row r="53" spans="1:20" ht="18.75" customHeight="1" x14ac:dyDescent="0.25">
      <c r="A53" s="156"/>
      <c r="B53" s="174" t="s">
        <v>103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69"/>
      <c r="P53" s="160"/>
      <c r="Q53" s="2"/>
      <c r="R53" s="2"/>
    </row>
    <row r="54" spans="1:20" ht="18.75" customHeight="1" x14ac:dyDescent="0.25">
      <c r="A54" s="156"/>
      <c r="B54" s="174" t="s">
        <v>104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69"/>
      <c r="P54" s="160"/>
    </row>
    <row r="55" spans="1:20" ht="18.75" customHeight="1" thickBot="1" x14ac:dyDescent="0.3">
      <c r="A55" s="156"/>
      <c r="B55" s="258" t="s">
        <v>105</v>
      </c>
      <c r="C55" s="259"/>
      <c r="D55" s="270"/>
      <c r="E55" s="13" t="s">
        <v>106</v>
      </c>
      <c r="F55" s="13">
        <v>0</v>
      </c>
      <c r="G55" s="13"/>
      <c r="H55" s="271" t="s">
        <v>107</v>
      </c>
      <c r="I55" s="270"/>
      <c r="J55" s="13">
        <v>0</v>
      </c>
      <c r="K55" s="44"/>
      <c r="L55" s="44"/>
      <c r="M55" s="44"/>
      <c r="N55" s="272"/>
      <c r="O55" s="273"/>
      <c r="P55" s="160"/>
    </row>
    <row r="56" spans="1:20" ht="18.75" customHeight="1" thickBot="1" x14ac:dyDescent="0.3">
      <c r="A56" s="156"/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160"/>
    </row>
    <row r="57" spans="1:20" ht="21" customHeight="1" x14ac:dyDescent="0.25">
      <c r="A57" s="156"/>
      <c r="B57" s="252" t="s">
        <v>108</v>
      </c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4"/>
      <c r="P57" s="160"/>
      <c r="Q57" s="2"/>
      <c r="R57" s="2"/>
    </row>
    <row r="58" spans="1:20" ht="25.5" customHeight="1" x14ac:dyDescent="0.25">
      <c r="A58" s="156"/>
      <c r="B58" s="255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7"/>
      <c r="P58" s="160"/>
      <c r="Q58" s="2"/>
    </row>
    <row r="59" spans="1:20" ht="18" customHeight="1" thickBot="1" x14ac:dyDescent="0.3">
      <c r="A59" s="156"/>
      <c r="B59" s="258" t="s">
        <v>109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60"/>
      <c r="P59" s="160"/>
      <c r="Q59" s="2"/>
    </row>
    <row r="60" spans="1:20" x14ac:dyDescent="0.25">
      <c r="A60" s="156"/>
      <c r="B60" s="26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160"/>
    </row>
    <row r="61" spans="1:20" ht="18" customHeight="1" x14ac:dyDescent="0.25">
      <c r="A61" s="156"/>
      <c r="B61" s="263"/>
      <c r="C61" s="264"/>
      <c r="D61" s="265" t="s">
        <v>110</v>
      </c>
      <c r="E61" s="265"/>
      <c r="F61" s="265"/>
      <c r="G61" s="265"/>
      <c r="H61" s="265"/>
      <c r="I61" s="45"/>
      <c r="J61" s="45"/>
      <c r="K61" s="94"/>
      <c r="L61" s="94"/>
      <c r="M61" s="94"/>
      <c r="N61" s="94"/>
      <c r="O61" s="94"/>
      <c r="P61" s="160"/>
    </row>
    <row r="62" spans="1:20" ht="18" customHeight="1" x14ac:dyDescent="0.25">
      <c r="A62" s="156"/>
      <c r="B62" s="93"/>
      <c r="C62" s="94"/>
      <c r="D62" s="274" t="s">
        <v>111</v>
      </c>
      <c r="E62" s="274"/>
      <c r="F62" s="274" t="s">
        <v>112</v>
      </c>
      <c r="G62" s="274"/>
      <c r="H62" s="274"/>
      <c r="I62" s="94"/>
      <c r="J62" s="94"/>
      <c r="K62" s="94"/>
      <c r="L62" s="94"/>
      <c r="M62" s="94"/>
      <c r="N62" s="94"/>
      <c r="O62" s="94"/>
      <c r="P62" s="160"/>
    </row>
    <row r="63" spans="1:20" ht="18" customHeight="1" x14ac:dyDescent="0.25">
      <c r="A63" s="156"/>
      <c r="B63" s="93"/>
      <c r="C63" s="94"/>
      <c r="D63" s="274" t="s">
        <v>113</v>
      </c>
      <c r="E63" s="274"/>
      <c r="F63" s="274" t="s">
        <v>137</v>
      </c>
      <c r="G63" s="274"/>
      <c r="H63" s="274"/>
      <c r="I63" s="94"/>
      <c r="J63" s="94"/>
      <c r="K63" s="94"/>
      <c r="L63" s="94"/>
      <c r="M63" s="94"/>
      <c r="N63" s="94"/>
      <c r="O63" s="94"/>
      <c r="P63" s="160"/>
    </row>
    <row r="64" spans="1:20" ht="18" customHeight="1" x14ac:dyDescent="0.25">
      <c r="A64" s="156"/>
      <c r="B64" s="93"/>
      <c r="C64" s="94"/>
      <c r="D64" s="274" t="s">
        <v>114</v>
      </c>
      <c r="E64" s="274"/>
      <c r="F64" s="274" t="s">
        <v>115</v>
      </c>
      <c r="G64" s="274"/>
      <c r="H64" s="274"/>
      <c r="I64" s="45"/>
      <c r="J64" s="94"/>
      <c r="K64" s="94"/>
      <c r="L64" s="94"/>
      <c r="M64" s="94"/>
      <c r="N64" s="94"/>
      <c r="O64" s="94"/>
      <c r="P64" s="160"/>
    </row>
    <row r="65" spans="1:16" ht="18" customHeight="1" x14ac:dyDescent="0.25">
      <c r="A65" s="156"/>
      <c r="B65" s="93"/>
      <c r="C65" s="94"/>
      <c r="D65" s="274" t="s">
        <v>116</v>
      </c>
      <c r="E65" s="274"/>
      <c r="F65" s="274" t="s">
        <v>117</v>
      </c>
      <c r="G65" s="274"/>
      <c r="H65" s="274"/>
      <c r="I65" s="45"/>
      <c r="J65" s="94"/>
      <c r="K65" s="94"/>
      <c r="L65" s="94"/>
      <c r="M65" s="94"/>
      <c r="N65" s="94"/>
      <c r="O65" s="94"/>
      <c r="P65" s="160"/>
    </row>
    <row r="66" spans="1:16" x14ac:dyDescent="0.25">
      <c r="A66" s="156"/>
      <c r="B66" s="93"/>
      <c r="C66" s="94"/>
      <c r="D66" s="274" t="s">
        <v>118</v>
      </c>
      <c r="E66" s="274"/>
      <c r="F66" s="274" t="s">
        <v>119</v>
      </c>
      <c r="G66" s="274"/>
      <c r="H66" s="274"/>
      <c r="I66" s="45"/>
      <c r="J66" s="94"/>
      <c r="K66" s="94"/>
      <c r="L66" s="94"/>
      <c r="M66" s="94"/>
      <c r="N66" s="94"/>
      <c r="O66" s="94"/>
      <c r="P66" s="160"/>
    </row>
    <row r="67" spans="1:16" x14ac:dyDescent="0.25">
      <c r="A67" s="156"/>
      <c r="B67" s="93"/>
      <c r="C67" s="94"/>
      <c r="D67" s="274" t="s">
        <v>120</v>
      </c>
      <c r="E67" s="274"/>
      <c r="F67" s="275">
        <f>+O49</f>
        <v>164885.99140000006</v>
      </c>
      <c r="G67" s="275"/>
      <c r="H67" s="275"/>
      <c r="I67" s="45"/>
      <c r="J67" s="94"/>
      <c r="K67" s="94"/>
      <c r="L67" s="94"/>
      <c r="M67" s="94"/>
      <c r="N67" s="94"/>
      <c r="O67" s="94"/>
      <c r="P67" s="160"/>
    </row>
    <row r="68" spans="1:16" ht="15.75" thickBot="1" x14ac:dyDescent="0.3">
      <c r="A68" s="15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161"/>
    </row>
  </sheetData>
  <mergeCells count="148">
    <mergeCell ref="D65:E65"/>
    <mergeCell ref="F65:H65"/>
    <mergeCell ref="D66:E66"/>
    <mergeCell ref="F66:H66"/>
    <mergeCell ref="D67:E67"/>
    <mergeCell ref="F67:H67"/>
    <mergeCell ref="D62:E62"/>
    <mergeCell ref="F62:H62"/>
    <mergeCell ref="D63:E63"/>
    <mergeCell ref="F63:H63"/>
    <mergeCell ref="D64:E64"/>
    <mergeCell ref="F64:H64"/>
    <mergeCell ref="B56:O56"/>
    <mergeCell ref="B57:O57"/>
    <mergeCell ref="B58:O58"/>
    <mergeCell ref="B59:O59"/>
    <mergeCell ref="B60:O60"/>
    <mergeCell ref="B61:C61"/>
    <mergeCell ref="D61:H61"/>
    <mergeCell ref="B52:O52"/>
    <mergeCell ref="B53:O53"/>
    <mergeCell ref="B54:O54"/>
    <mergeCell ref="B55:D55"/>
    <mergeCell ref="H55:I55"/>
    <mergeCell ref="N55:O55"/>
    <mergeCell ref="B50:C50"/>
    <mergeCell ref="F50:G50"/>
    <mergeCell ref="H50:N50"/>
    <mergeCell ref="B51:C51"/>
    <mergeCell ref="F51:G51"/>
    <mergeCell ref="H51:N51"/>
    <mergeCell ref="B48:C48"/>
    <mergeCell ref="F48:G48"/>
    <mergeCell ref="H48:N48"/>
    <mergeCell ref="B49:C49"/>
    <mergeCell ref="F49:G49"/>
    <mergeCell ref="H49:N49"/>
    <mergeCell ref="B46:C46"/>
    <mergeCell ref="F46:G46"/>
    <mergeCell ref="H46:N46"/>
    <mergeCell ref="B47:C47"/>
    <mergeCell ref="F47:G47"/>
    <mergeCell ref="H47:N47"/>
    <mergeCell ref="B44:C44"/>
    <mergeCell ref="F44:G44"/>
    <mergeCell ref="H44:N44"/>
    <mergeCell ref="B45:C45"/>
    <mergeCell ref="F45:G45"/>
    <mergeCell ref="H45:N45"/>
    <mergeCell ref="B42:C42"/>
    <mergeCell ref="F42:G42"/>
    <mergeCell ref="H42:N42"/>
    <mergeCell ref="B43:C43"/>
    <mergeCell ref="F43:G43"/>
    <mergeCell ref="H43:N43"/>
    <mergeCell ref="B40:C40"/>
    <mergeCell ref="F40:G40"/>
    <mergeCell ref="H40:N40"/>
    <mergeCell ref="B41:C41"/>
    <mergeCell ref="F41:G41"/>
    <mergeCell ref="H41:N41"/>
    <mergeCell ref="B38:C38"/>
    <mergeCell ref="F38:G38"/>
    <mergeCell ref="H38:N38"/>
    <mergeCell ref="B39:C39"/>
    <mergeCell ref="F39:G39"/>
    <mergeCell ref="H39:N39"/>
    <mergeCell ref="B36:C36"/>
    <mergeCell ref="F36:G36"/>
    <mergeCell ref="H36:N36"/>
    <mergeCell ref="B37:C37"/>
    <mergeCell ref="F37:G37"/>
    <mergeCell ref="H37:N37"/>
    <mergeCell ref="B34:C34"/>
    <mergeCell ref="F34:G34"/>
    <mergeCell ref="H34:N34"/>
    <mergeCell ref="B35:C35"/>
    <mergeCell ref="F35:G35"/>
    <mergeCell ref="H35:N35"/>
    <mergeCell ref="B32:C32"/>
    <mergeCell ref="F32:G32"/>
    <mergeCell ref="H32:N32"/>
    <mergeCell ref="B33:C33"/>
    <mergeCell ref="F33:G33"/>
    <mergeCell ref="H33:N33"/>
    <mergeCell ref="B30:C30"/>
    <mergeCell ref="F30:G30"/>
    <mergeCell ref="H30:N30"/>
    <mergeCell ref="B31:C31"/>
    <mergeCell ref="F31:G31"/>
    <mergeCell ref="H31:N31"/>
    <mergeCell ref="B28:C28"/>
    <mergeCell ref="F28:G28"/>
    <mergeCell ref="H28:N28"/>
    <mergeCell ref="B29:C29"/>
    <mergeCell ref="F29:G29"/>
    <mergeCell ref="H29:N29"/>
    <mergeCell ref="Q16:S16"/>
    <mergeCell ref="B17:O17"/>
    <mergeCell ref="H18:O18"/>
    <mergeCell ref="B26:O26"/>
    <mergeCell ref="B27:G27"/>
    <mergeCell ref="H27:O27"/>
    <mergeCell ref="B15:E15"/>
    <mergeCell ref="F15:I15"/>
    <mergeCell ref="K15:N15"/>
    <mergeCell ref="B16:E16"/>
    <mergeCell ref="F16:I16"/>
    <mergeCell ref="K16:N16"/>
    <mergeCell ref="J7:K7"/>
    <mergeCell ref="L7:M7"/>
    <mergeCell ref="N7:O7"/>
    <mergeCell ref="B13:E13"/>
    <mergeCell ref="F13:I13"/>
    <mergeCell ref="K13:N13"/>
    <mergeCell ref="B14:E14"/>
    <mergeCell ref="F14:I14"/>
    <mergeCell ref="K14:N14"/>
    <mergeCell ref="B11:E11"/>
    <mergeCell ref="F11:I11"/>
    <mergeCell ref="K11:N11"/>
    <mergeCell ref="B12:E12"/>
    <mergeCell ref="F12:I12"/>
    <mergeCell ref="K12:N12"/>
    <mergeCell ref="A1:A68"/>
    <mergeCell ref="B1:O1"/>
    <mergeCell ref="P1:P68"/>
    <mergeCell ref="B2:B4"/>
    <mergeCell ref="C2:O2"/>
    <mergeCell ref="C3:O3"/>
    <mergeCell ref="C4:O4"/>
    <mergeCell ref="B5:O5"/>
    <mergeCell ref="D6:E6"/>
    <mergeCell ref="F6:G6"/>
    <mergeCell ref="B8:O8"/>
    <mergeCell ref="B9:E9"/>
    <mergeCell ref="F9:I9"/>
    <mergeCell ref="K9:N9"/>
    <mergeCell ref="B10:E10"/>
    <mergeCell ref="F10:I10"/>
    <mergeCell ref="K10:N10"/>
    <mergeCell ref="H6:I6"/>
    <mergeCell ref="J6:K6"/>
    <mergeCell ref="L6:M6"/>
    <mergeCell ref="N6:O6"/>
    <mergeCell ref="D7:E7"/>
    <mergeCell ref="F7:G7"/>
    <mergeCell ref="H7:I7"/>
  </mergeCells>
  <pageMargins left="0.5" right="0.45" top="0.5" bottom="0.25" header="0.3" footer="0.3"/>
  <pageSetup paperSize="9" scale="59" orientation="portrait" verticalDpi="0" r:id="rId1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0"/>
  <sheetViews>
    <sheetView topLeftCell="A19" zoomScaleNormal="100" workbookViewId="0">
      <selection activeCell="R24" sqref="R24"/>
    </sheetView>
  </sheetViews>
  <sheetFormatPr defaultRowHeight="15" x14ac:dyDescent="0.25"/>
  <cols>
    <col min="1" max="1" width="1.7109375" customWidth="1"/>
    <col min="2" max="2" width="18" customWidth="1"/>
    <col min="3" max="3" width="13.710937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2.28515625" customWidth="1"/>
    <col min="19" max="19" width="9.28515625" customWidth="1"/>
    <col min="20" max="20" width="6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ROUND(O51,0)</f>
        <v>-249329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98">
        <v>1700474</v>
      </c>
      <c r="D7" s="180" t="s">
        <v>10</v>
      </c>
      <c r="E7" s="180"/>
      <c r="F7" s="180" t="s">
        <v>138</v>
      </c>
      <c r="G7" s="180"/>
      <c r="H7" s="180" t="s">
        <v>139</v>
      </c>
      <c r="I7" s="180"/>
      <c r="J7" s="181">
        <v>45658</v>
      </c>
      <c r="K7" s="181"/>
      <c r="L7" s="181">
        <v>45672</v>
      </c>
      <c r="M7" s="181"/>
      <c r="N7" s="181">
        <v>45686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x14ac:dyDescent="0.25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+D27</f>
        <v>278.39999999999998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95" t="s">
        <v>18</v>
      </c>
      <c r="K11" s="185" t="s">
        <v>19</v>
      </c>
      <c r="L11" s="186"/>
      <c r="M11" s="186"/>
      <c r="N11" s="187"/>
      <c r="O11" s="57"/>
      <c r="P11" s="276"/>
      <c r="Q11" s="101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95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276"/>
      <c r="Q12" s="102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276"/>
      <c r="Q13" s="103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276"/>
      <c r="Q14" s="10" t="s">
        <v>31</v>
      </c>
      <c r="R14" s="86">
        <v>97210</v>
      </c>
      <c r="S14" s="86"/>
      <c r="T14" s="86">
        <f>+R14+S14</f>
        <v>97210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276"/>
      <c r="Q15" s="100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97210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12595.1</v>
      </c>
      <c r="D19" s="15">
        <v>0.13919999999999999</v>
      </c>
      <c r="E19" s="16">
        <v>48.453000000000003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11718</v>
      </c>
      <c r="D20" s="95">
        <v>0</v>
      </c>
      <c r="E20" s="16">
        <v>0.36499999999999999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877.10000000000036</v>
      </c>
      <c r="D21" s="24">
        <f>+D19</f>
        <v>0.13919999999999999</v>
      </c>
      <c r="E21" s="95">
        <f>+E19-E20</f>
        <v>48.088000000000001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877.10000000000036</v>
      </c>
      <c r="D23" s="33">
        <f>+D21*D22</f>
        <v>278.39999999999998</v>
      </c>
      <c r="E23" s="33">
        <f>+E22*E21</f>
        <v>96176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27.75" customHeight="1" x14ac:dyDescent="0.25">
      <c r="A24" s="156"/>
      <c r="B24" s="218" t="s">
        <v>141</v>
      </c>
      <c r="C24" s="219"/>
      <c r="D24" s="33"/>
      <c r="E24" s="33">
        <v>12280.000000000655</v>
      </c>
      <c r="F24" s="25"/>
      <c r="G24" s="26"/>
      <c r="H24" s="27"/>
      <c r="I24" s="72"/>
      <c r="J24" s="72"/>
      <c r="K24" s="21"/>
      <c r="L24" s="22"/>
      <c r="M24" s="22"/>
      <c r="N24" s="73"/>
      <c r="O24" s="69"/>
      <c r="P24" s="160"/>
      <c r="R24" s="2"/>
    </row>
    <row r="25" spans="1:18" ht="27.75" customHeight="1" x14ac:dyDescent="0.25">
      <c r="A25" s="156"/>
      <c r="B25" s="277" t="s">
        <v>140</v>
      </c>
      <c r="C25" s="278"/>
      <c r="D25" s="33"/>
      <c r="E25" s="99">
        <f>+E24+E23</f>
        <v>108456.00000000065</v>
      </c>
      <c r="F25" s="25"/>
      <c r="G25" s="26"/>
      <c r="H25" s="27"/>
      <c r="I25" s="72"/>
      <c r="J25" s="72"/>
      <c r="K25" s="21"/>
      <c r="L25" s="22"/>
      <c r="M25" s="22"/>
      <c r="N25" s="73"/>
      <c r="O25" s="69"/>
      <c r="P25" s="160"/>
      <c r="R25" s="2"/>
    </row>
    <row r="26" spans="1:18" ht="19.5" customHeight="1" x14ac:dyDescent="0.25">
      <c r="A26" s="156"/>
      <c r="B26" s="90" t="s">
        <v>61</v>
      </c>
      <c r="C26" s="71"/>
      <c r="D26" s="33">
        <v>0</v>
      </c>
      <c r="E26" s="50">
        <f>+O12+J12+J13+O13+J16</f>
        <v>97210</v>
      </c>
      <c r="F26" s="25"/>
      <c r="G26" s="28"/>
      <c r="H26" s="29"/>
      <c r="I26" s="29"/>
      <c r="J26" s="29"/>
      <c r="K26" s="29"/>
      <c r="L26" s="31"/>
      <c r="M26" s="29"/>
      <c r="N26" s="29"/>
      <c r="O26" s="75"/>
      <c r="P26" s="160"/>
      <c r="R26" s="2"/>
    </row>
    <row r="27" spans="1:18" ht="18.75" customHeight="1" thickBot="1" x14ac:dyDescent="0.3">
      <c r="A27" s="156"/>
      <c r="B27" s="91" t="s">
        <v>62</v>
      </c>
      <c r="C27" s="79">
        <f>+C23</f>
        <v>877.10000000000036</v>
      </c>
      <c r="D27" s="76">
        <f>+D23</f>
        <v>278.39999999999998</v>
      </c>
      <c r="E27" s="77">
        <f>+E25-E26</f>
        <v>11246.000000000655</v>
      </c>
      <c r="F27" s="76"/>
      <c r="G27" s="76"/>
      <c r="H27" s="78" t="s">
        <v>16</v>
      </c>
      <c r="I27" s="79">
        <f t="shared" ref="I27:N27" si="1">+I23+I22+I21+I20</f>
        <v>0</v>
      </c>
      <c r="J27" s="79">
        <f t="shared" si="1"/>
        <v>0</v>
      </c>
      <c r="K27" s="76">
        <f t="shared" si="1"/>
        <v>0</v>
      </c>
      <c r="L27" s="76">
        <f t="shared" si="1"/>
        <v>0</v>
      </c>
      <c r="M27" s="76">
        <f t="shared" si="1"/>
        <v>0</v>
      </c>
      <c r="N27" s="76">
        <f t="shared" si="1"/>
        <v>0</v>
      </c>
      <c r="O27" s="80">
        <f>+O20+O21+O22+O23</f>
        <v>0</v>
      </c>
      <c r="P27" s="160"/>
      <c r="R27" s="2"/>
    </row>
    <row r="28" spans="1:18" ht="15.75" thickBot="1" x14ac:dyDescent="0.3">
      <c r="A28" s="156"/>
      <c r="B28" s="221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160"/>
    </row>
    <row r="29" spans="1:18" ht="18.75" customHeight="1" x14ac:dyDescent="0.25">
      <c r="A29" s="156"/>
      <c r="B29" s="223" t="s">
        <v>63</v>
      </c>
      <c r="C29" s="220"/>
      <c r="D29" s="220"/>
      <c r="E29" s="220"/>
      <c r="F29" s="220"/>
      <c r="G29" s="173"/>
      <c r="H29" s="172" t="s">
        <v>64</v>
      </c>
      <c r="I29" s="220"/>
      <c r="J29" s="220"/>
      <c r="K29" s="220"/>
      <c r="L29" s="220"/>
      <c r="M29" s="220"/>
      <c r="N29" s="220"/>
      <c r="O29" s="179"/>
      <c r="P29" s="160"/>
    </row>
    <row r="30" spans="1:18" ht="18.75" customHeight="1" x14ac:dyDescent="0.25">
      <c r="A30" s="156"/>
      <c r="B30" s="211" t="s">
        <v>65</v>
      </c>
      <c r="C30" s="212"/>
      <c r="D30" s="32" t="s">
        <v>66</v>
      </c>
      <c r="E30" s="32" t="s">
        <v>67</v>
      </c>
      <c r="F30" s="224" t="s">
        <v>68</v>
      </c>
      <c r="G30" s="225"/>
      <c r="H30" s="226" t="s">
        <v>69</v>
      </c>
      <c r="I30" s="227"/>
      <c r="J30" s="227"/>
      <c r="K30" s="227"/>
      <c r="L30" s="227"/>
      <c r="M30" s="227"/>
      <c r="N30" s="228"/>
      <c r="O30" s="69">
        <f>(F35+F36+O22+O23+F37+F38+O20)*9/100</f>
        <v>7615.2780000004068</v>
      </c>
      <c r="P30" s="160"/>
    </row>
    <row r="31" spans="1:18" ht="18.75" customHeight="1" x14ac:dyDescent="0.25">
      <c r="A31" s="156"/>
      <c r="B31" s="211" t="s">
        <v>70</v>
      </c>
      <c r="C31" s="212"/>
      <c r="D31" s="50">
        <f>+O10</f>
        <v>324</v>
      </c>
      <c r="E31" s="33">
        <v>340</v>
      </c>
      <c r="F31" s="213">
        <f>+D31*E31</f>
        <v>110160</v>
      </c>
      <c r="G31" s="214"/>
      <c r="H31" s="215" t="s">
        <v>71</v>
      </c>
      <c r="I31" s="216"/>
      <c r="J31" s="216"/>
      <c r="K31" s="216"/>
      <c r="L31" s="216"/>
      <c r="M31" s="216"/>
      <c r="N31" s="217"/>
      <c r="O31" s="75">
        <v>0</v>
      </c>
      <c r="P31" s="160"/>
      <c r="Q31" s="2"/>
      <c r="R31" s="2"/>
    </row>
    <row r="32" spans="1:18" ht="18.75" customHeight="1" x14ac:dyDescent="0.25">
      <c r="A32" s="156"/>
      <c r="B32" s="218" t="s">
        <v>72</v>
      </c>
      <c r="C32" s="219"/>
      <c r="D32" s="35"/>
      <c r="E32" s="35"/>
      <c r="F32" s="213">
        <v>0</v>
      </c>
      <c r="G32" s="214"/>
      <c r="H32" s="215" t="s">
        <v>73</v>
      </c>
      <c r="I32" s="216"/>
      <c r="J32" s="216"/>
      <c r="K32" s="216"/>
      <c r="L32" s="216"/>
      <c r="M32" s="216"/>
      <c r="N32" s="217"/>
      <c r="O32" s="75">
        <f>(J12+J16)*0.2</f>
        <v>19442</v>
      </c>
      <c r="P32" s="160"/>
    </row>
    <row r="33" spans="1:20" ht="18.75" customHeight="1" x14ac:dyDescent="0.25">
      <c r="A33" s="156"/>
      <c r="B33" s="218" t="s">
        <v>74</v>
      </c>
      <c r="C33" s="219"/>
      <c r="D33" s="33">
        <v>0</v>
      </c>
      <c r="E33" s="33">
        <v>0</v>
      </c>
      <c r="F33" s="213">
        <v>0</v>
      </c>
      <c r="G33" s="214"/>
      <c r="H33" s="226" t="s">
        <v>75</v>
      </c>
      <c r="I33" s="227"/>
      <c r="J33" s="227"/>
      <c r="K33" s="227"/>
      <c r="L33" s="227"/>
      <c r="M33" s="227"/>
      <c r="N33" s="228"/>
      <c r="O33" s="69">
        <f>+T40</f>
        <v>0</v>
      </c>
      <c r="P33" s="160"/>
    </row>
    <row r="34" spans="1:20" ht="18.75" customHeight="1" x14ac:dyDescent="0.25">
      <c r="A34" s="156"/>
      <c r="B34" s="218" t="s">
        <v>128</v>
      </c>
      <c r="C34" s="219"/>
      <c r="D34" s="33"/>
      <c r="E34" s="33"/>
      <c r="F34" s="213">
        <f t="shared" ref="F34:F39" si="2">+D34*E34</f>
        <v>0</v>
      </c>
      <c r="G34" s="214"/>
      <c r="H34" s="215" t="s">
        <v>76</v>
      </c>
      <c r="I34" s="216"/>
      <c r="J34" s="216"/>
      <c r="K34" s="216"/>
      <c r="L34" s="216"/>
      <c r="M34" s="216"/>
      <c r="N34" s="217"/>
      <c r="O34" s="75"/>
      <c r="P34" s="160"/>
      <c r="Q34" s="2"/>
      <c r="R34" s="81"/>
      <c r="T34" s="115"/>
    </row>
    <row r="35" spans="1:20" ht="18.75" customHeight="1" x14ac:dyDescent="0.25">
      <c r="A35" s="156"/>
      <c r="B35" s="211" t="s">
        <v>77</v>
      </c>
      <c r="C35" s="212"/>
      <c r="D35" s="34">
        <f>+E27</f>
        <v>11246.000000000655</v>
      </c>
      <c r="E35" s="34">
        <v>6.9</v>
      </c>
      <c r="F35" s="229">
        <f t="shared" si="2"/>
        <v>77597.40000000452</v>
      </c>
      <c r="G35" s="230"/>
      <c r="H35" s="231" t="s">
        <v>78</v>
      </c>
      <c r="I35" s="232"/>
      <c r="J35" s="232"/>
      <c r="K35" s="232"/>
      <c r="L35" s="232"/>
      <c r="M35" s="232"/>
      <c r="N35" s="233"/>
      <c r="O35" s="75">
        <v>0</v>
      </c>
      <c r="P35" s="160"/>
    </row>
    <row r="36" spans="1:20" ht="18.75" customHeight="1" x14ac:dyDescent="0.25">
      <c r="A36" s="156"/>
      <c r="B36" s="211" t="s">
        <v>79</v>
      </c>
      <c r="C36" s="212"/>
      <c r="D36" s="50"/>
      <c r="E36" s="33">
        <v>0</v>
      </c>
      <c r="F36" s="229">
        <f t="shared" si="2"/>
        <v>0</v>
      </c>
      <c r="G36" s="230"/>
      <c r="H36" s="231" t="s">
        <v>80</v>
      </c>
      <c r="I36" s="232"/>
      <c r="J36" s="232"/>
      <c r="K36" s="232"/>
      <c r="L36" s="232"/>
      <c r="M36" s="232"/>
      <c r="N36" s="233"/>
      <c r="O36" s="75">
        <v>0</v>
      </c>
      <c r="P36" s="160"/>
      <c r="R36" s="30"/>
      <c r="S36" s="23">
        <f>+E26-E26</f>
        <v>0</v>
      </c>
      <c r="T36" s="30">
        <f>+S36*E35</f>
        <v>0</v>
      </c>
    </row>
    <row r="37" spans="1:20" ht="18.75" customHeight="1" x14ac:dyDescent="0.25">
      <c r="A37" s="156"/>
      <c r="B37" s="211" t="s">
        <v>129</v>
      </c>
      <c r="C37" s="212"/>
      <c r="D37" s="34">
        <f>+C27</f>
        <v>877.10000000000036</v>
      </c>
      <c r="E37" s="34">
        <v>8</v>
      </c>
      <c r="F37" s="229">
        <f t="shared" si="2"/>
        <v>7016.8000000000029</v>
      </c>
      <c r="G37" s="230"/>
      <c r="H37" s="239"/>
      <c r="I37" s="240"/>
      <c r="J37" s="240"/>
      <c r="K37" s="240"/>
      <c r="L37" s="240"/>
      <c r="M37" s="240"/>
      <c r="N37" s="241"/>
      <c r="O37" s="75"/>
      <c r="P37" s="160"/>
      <c r="R37" s="30"/>
      <c r="S37" s="23"/>
      <c r="T37" s="30">
        <f>+S37*E36</f>
        <v>0</v>
      </c>
    </row>
    <row r="38" spans="1:20" ht="18.75" customHeight="1" x14ac:dyDescent="0.25">
      <c r="A38" s="156"/>
      <c r="B38" s="211" t="s">
        <v>130</v>
      </c>
      <c r="C38" s="212"/>
      <c r="D38" s="37"/>
      <c r="E38" s="34"/>
      <c r="F38" s="229">
        <f t="shared" si="2"/>
        <v>0</v>
      </c>
      <c r="G38" s="230"/>
      <c r="H38" s="242" t="s">
        <v>81</v>
      </c>
      <c r="I38" s="243"/>
      <c r="J38" s="243"/>
      <c r="K38" s="243"/>
      <c r="L38" s="243"/>
      <c r="M38" s="243"/>
      <c r="N38" s="244"/>
      <c r="O38" s="69">
        <f>+O30+O31+O32+O33+O34+O35+O36</f>
        <v>27057.278000000406</v>
      </c>
      <c r="P38" s="160"/>
      <c r="R38" s="30"/>
      <c r="S38" s="30"/>
      <c r="T38" s="36"/>
    </row>
    <row r="39" spans="1:20" ht="18.75" customHeight="1" thickBot="1" x14ac:dyDescent="0.3">
      <c r="A39" s="156"/>
      <c r="B39" s="211" t="s">
        <v>82</v>
      </c>
      <c r="C39" s="212"/>
      <c r="D39" s="50">
        <f>+E27</f>
        <v>11246.000000000655</v>
      </c>
      <c r="E39" s="34">
        <v>0.16</v>
      </c>
      <c r="F39" s="229">
        <f t="shared" si="2"/>
        <v>1799.3600000001047</v>
      </c>
      <c r="G39" s="230"/>
      <c r="H39" s="215" t="s">
        <v>83</v>
      </c>
      <c r="I39" s="216"/>
      <c r="J39" s="216"/>
      <c r="K39" s="216"/>
      <c r="L39" s="216"/>
      <c r="M39" s="216"/>
      <c r="N39" s="217"/>
      <c r="O39" s="75">
        <v>0</v>
      </c>
      <c r="P39" s="160"/>
      <c r="R39" s="97" t="s">
        <v>16</v>
      </c>
      <c r="S39" s="30">
        <f>SUM(S36:S37)</f>
        <v>0</v>
      </c>
      <c r="T39" s="36">
        <f>SUM(T36:T37)</f>
        <v>0</v>
      </c>
    </row>
    <row r="40" spans="1:20" s="39" customFormat="1" ht="18.75" customHeight="1" thickBot="1" x14ac:dyDescent="0.3">
      <c r="A40" s="156"/>
      <c r="B40" s="234" t="s">
        <v>131</v>
      </c>
      <c r="C40" s="235"/>
      <c r="D40" s="83"/>
      <c r="E40" s="38"/>
      <c r="F40" s="229">
        <v>0</v>
      </c>
      <c r="G40" s="230"/>
      <c r="H40" s="236" t="s">
        <v>132</v>
      </c>
      <c r="I40" s="237"/>
      <c r="J40" s="237"/>
      <c r="K40" s="237"/>
      <c r="L40" s="237"/>
      <c r="M40" s="237"/>
      <c r="N40" s="238"/>
      <c r="O40" s="69">
        <v>0</v>
      </c>
      <c r="P40" s="160"/>
      <c r="Q40" s="2">
        <v>1659.02</v>
      </c>
      <c r="R40" s="2"/>
      <c r="S40" s="7" t="s">
        <v>84</v>
      </c>
      <c r="T40" s="82">
        <f>+T39*9/100</f>
        <v>0</v>
      </c>
    </row>
    <row r="41" spans="1:20" ht="18.75" customHeight="1" x14ac:dyDescent="0.25">
      <c r="A41" s="156"/>
      <c r="B41" s="211" t="s">
        <v>85</v>
      </c>
      <c r="C41" s="212"/>
      <c r="D41" s="35"/>
      <c r="E41" s="25"/>
      <c r="F41" s="229">
        <f>+O27</f>
        <v>0</v>
      </c>
      <c r="G41" s="230"/>
      <c r="H41" s="226" t="s">
        <v>86</v>
      </c>
      <c r="I41" s="227"/>
      <c r="J41" s="227"/>
      <c r="K41" s="227"/>
      <c r="L41" s="227"/>
      <c r="M41" s="227"/>
      <c r="N41" s="228"/>
      <c r="O41" s="69">
        <f>+O39+O40</f>
        <v>0</v>
      </c>
      <c r="P41" s="160"/>
      <c r="Q41" s="81">
        <f>+F39-Q40</f>
        <v>140.34000000010474</v>
      </c>
      <c r="R41" s="39"/>
      <c r="S41" s="39"/>
      <c r="T41" s="39"/>
    </row>
    <row r="42" spans="1:20" ht="28.5" customHeight="1" x14ac:dyDescent="0.25">
      <c r="A42" s="156"/>
      <c r="B42" s="211" t="s">
        <v>87</v>
      </c>
      <c r="C42" s="212"/>
      <c r="D42" s="25"/>
      <c r="E42" s="25"/>
      <c r="F42" s="213">
        <v>0</v>
      </c>
      <c r="G42" s="214"/>
      <c r="H42" s="226" t="s">
        <v>88</v>
      </c>
      <c r="I42" s="227"/>
      <c r="J42" s="227"/>
      <c r="K42" s="227"/>
      <c r="L42" s="227"/>
      <c r="M42" s="227"/>
      <c r="N42" s="228"/>
      <c r="O42" s="69">
        <f>+F31+F32+F33+F34+F35+F36+F37+F38+F39+F40+F41+F42+F43+F44+F45+F46+F47+F48+F49+F50+F51+F52+O38+O41+F53</f>
        <v>254738.03800000501</v>
      </c>
      <c r="P42" s="160"/>
      <c r="R42" s="2"/>
    </row>
    <row r="43" spans="1:20" ht="18.75" customHeight="1" x14ac:dyDescent="0.25">
      <c r="A43" s="156"/>
      <c r="B43" s="218" t="s">
        <v>89</v>
      </c>
      <c r="C43" s="219"/>
      <c r="D43" s="25"/>
      <c r="E43" s="25"/>
      <c r="F43" s="213">
        <v>0</v>
      </c>
      <c r="G43" s="214"/>
      <c r="H43" s="226" t="s">
        <v>90</v>
      </c>
      <c r="I43" s="227"/>
      <c r="J43" s="227"/>
      <c r="K43" s="227"/>
      <c r="L43" s="227"/>
      <c r="M43" s="227"/>
      <c r="N43" s="228"/>
      <c r="O43" s="75" t="s">
        <v>68</v>
      </c>
      <c r="P43" s="160"/>
    </row>
    <row r="44" spans="1:20" ht="18.75" customHeight="1" x14ac:dyDescent="0.25">
      <c r="A44" s="156"/>
      <c r="B44" s="211" t="s">
        <v>91</v>
      </c>
      <c r="C44" s="212"/>
      <c r="D44" s="25"/>
      <c r="E44" s="25"/>
      <c r="F44" s="213">
        <v>0</v>
      </c>
      <c r="G44" s="214"/>
      <c r="H44" s="224"/>
      <c r="I44" s="245"/>
      <c r="J44" s="245"/>
      <c r="K44" s="245"/>
      <c r="L44" s="245"/>
      <c r="M44" s="245"/>
      <c r="N44" s="225"/>
      <c r="O44" s="75"/>
      <c r="P44" s="160"/>
    </row>
    <row r="45" spans="1:20" ht="18.75" customHeight="1" x14ac:dyDescent="0.25">
      <c r="A45" s="156"/>
      <c r="B45" s="218" t="s">
        <v>133</v>
      </c>
      <c r="C45" s="219"/>
      <c r="D45" s="25"/>
      <c r="E45" s="25"/>
      <c r="F45" s="213">
        <v>0</v>
      </c>
      <c r="G45" s="214"/>
      <c r="H45" s="215" t="s">
        <v>92</v>
      </c>
      <c r="I45" s="216"/>
      <c r="J45" s="216"/>
      <c r="K45" s="216"/>
      <c r="L45" s="216"/>
      <c r="M45" s="216"/>
      <c r="N45" s="217"/>
      <c r="O45" s="69">
        <v>-504067</v>
      </c>
      <c r="P45" s="160"/>
    </row>
    <row r="46" spans="1:20" ht="21" customHeight="1" x14ac:dyDescent="0.25">
      <c r="A46" s="156"/>
      <c r="B46" s="218" t="s">
        <v>134</v>
      </c>
      <c r="C46" s="219"/>
      <c r="D46" s="33">
        <f>+J13</f>
        <v>0</v>
      </c>
      <c r="E46" s="33">
        <v>1.92</v>
      </c>
      <c r="F46" s="213">
        <f>+D46*E46</f>
        <v>0</v>
      </c>
      <c r="G46" s="214"/>
      <c r="H46" s="215" t="s">
        <v>84</v>
      </c>
      <c r="I46" s="216"/>
      <c r="J46" s="216"/>
      <c r="K46" s="216"/>
      <c r="L46" s="216"/>
      <c r="M46" s="216"/>
      <c r="N46" s="217"/>
      <c r="O46" s="69">
        <v>0</v>
      </c>
      <c r="P46" s="160"/>
    </row>
    <row r="47" spans="1:20" ht="29.25" customHeight="1" x14ac:dyDescent="0.25">
      <c r="A47" s="156"/>
      <c r="B47" s="218" t="s">
        <v>135</v>
      </c>
      <c r="C47" s="219"/>
      <c r="D47" s="33">
        <f>+O13</f>
        <v>0</v>
      </c>
      <c r="E47" s="33">
        <v>1.92</v>
      </c>
      <c r="F47" s="246">
        <f>+D47*E47</f>
        <v>0</v>
      </c>
      <c r="G47" s="247"/>
      <c r="H47" s="215" t="s">
        <v>93</v>
      </c>
      <c r="I47" s="216"/>
      <c r="J47" s="216"/>
      <c r="K47" s="216"/>
      <c r="L47" s="216"/>
      <c r="M47" s="216"/>
      <c r="N47" s="217"/>
      <c r="O47" s="69">
        <v>0</v>
      </c>
      <c r="P47" s="160"/>
      <c r="Q47" s="84"/>
      <c r="R47" s="2"/>
    </row>
    <row r="48" spans="1:20" ht="18.75" customHeight="1" x14ac:dyDescent="0.25">
      <c r="A48" s="156"/>
      <c r="B48" s="218" t="s">
        <v>94</v>
      </c>
      <c r="C48" s="219"/>
      <c r="D48" s="33">
        <f>+J13</f>
        <v>0</v>
      </c>
      <c r="E48" s="34">
        <v>1.37</v>
      </c>
      <c r="F48" s="213">
        <f>+D48*E48</f>
        <v>0</v>
      </c>
      <c r="G48" s="214"/>
      <c r="H48" s="215" t="s">
        <v>95</v>
      </c>
      <c r="I48" s="216"/>
      <c r="J48" s="216"/>
      <c r="K48" s="216"/>
      <c r="L48" s="216"/>
      <c r="M48" s="216"/>
      <c r="N48" s="217"/>
      <c r="O48" s="69">
        <v>0</v>
      </c>
      <c r="P48" s="160"/>
      <c r="R48" s="2"/>
    </row>
    <row r="49" spans="1:20" ht="29.25" customHeight="1" x14ac:dyDescent="0.25">
      <c r="A49" s="156"/>
      <c r="B49" s="218" t="s">
        <v>96</v>
      </c>
      <c r="C49" s="219"/>
      <c r="D49" s="33">
        <f>+O12+O13</f>
        <v>0</v>
      </c>
      <c r="E49" s="34">
        <v>0.82</v>
      </c>
      <c r="F49" s="246">
        <f>+D49*E49</f>
        <v>0</v>
      </c>
      <c r="G49" s="247"/>
      <c r="H49" s="226" t="s">
        <v>97</v>
      </c>
      <c r="I49" s="227"/>
      <c r="J49" s="227"/>
      <c r="K49" s="227"/>
      <c r="L49" s="227"/>
      <c r="M49" s="227"/>
      <c r="N49" s="228"/>
      <c r="O49" s="69">
        <f>+O44+O45+O46+O47+O48</f>
        <v>-504067</v>
      </c>
      <c r="P49" s="160"/>
      <c r="R49" s="2"/>
      <c r="S49" s="2"/>
    </row>
    <row r="50" spans="1:20" ht="18.75" customHeight="1" x14ac:dyDescent="0.25">
      <c r="A50" s="156"/>
      <c r="B50" s="218" t="s">
        <v>98</v>
      </c>
      <c r="C50" s="219"/>
      <c r="D50" s="33">
        <f>+O16</f>
        <v>0</v>
      </c>
      <c r="E50" s="34">
        <v>-1.9</v>
      </c>
      <c r="F50" s="246">
        <f>+D50*E50</f>
        <v>0</v>
      </c>
      <c r="G50" s="247"/>
      <c r="H50" s="226" t="s">
        <v>99</v>
      </c>
      <c r="I50" s="227"/>
      <c r="J50" s="227"/>
      <c r="K50" s="227"/>
      <c r="L50" s="227"/>
      <c r="M50" s="227"/>
      <c r="N50" s="228"/>
      <c r="O50" s="85">
        <f>+O42+O49</f>
        <v>-249328.96199999499</v>
      </c>
      <c r="P50" s="160"/>
      <c r="Q50" s="2">
        <v>-287250</v>
      </c>
      <c r="R50" s="2">
        <f>+O50-Q50</f>
        <v>37921.038000005006</v>
      </c>
      <c r="S50" s="2">
        <f>+R50-F53</f>
        <v>6813.8380000050056</v>
      </c>
    </row>
    <row r="51" spans="1:20" ht="18.75" customHeight="1" x14ac:dyDescent="0.25">
      <c r="A51" s="156"/>
      <c r="B51" s="174" t="s">
        <v>100</v>
      </c>
      <c r="C51" s="175"/>
      <c r="D51" s="40"/>
      <c r="E51" s="95">
        <v>0</v>
      </c>
      <c r="F51" s="213">
        <v>0</v>
      </c>
      <c r="G51" s="214"/>
      <c r="H51" s="226" t="s">
        <v>101</v>
      </c>
      <c r="I51" s="227"/>
      <c r="J51" s="227"/>
      <c r="K51" s="227"/>
      <c r="L51" s="227"/>
      <c r="M51" s="227"/>
      <c r="N51" s="228"/>
      <c r="O51" s="85">
        <f>+O50</f>
        <v>-249328.96199999499</v>
      </c>
      <c r="P51" s="160"/>
      <c r="Q51" s="2">
        <v>213292</v>
      </c>
      <c r="R51" s="2">
        <f>+O50-Q51</f>
        <v>-462620.96199999499</v>
      </c>
      <c r="S51" s="2"/>
      <c r="T51" s="2"/>
    </row>
    <row r="52" spans="1:20" ht="27.75" customHeight="1" x14ac:dyDescent="0.25">
      <c r="A52" s="156"/>
      <c r="B52" s="183" t="s">
        <v>136</v>
      </c>
      <c r="C52" s="184"/>
      <c r="D52" s="11"/>
      <c r="E52" s="11"/>
      <c r="F52" s="248">
        <v>0</v>
      </c>
      <c r="G52" s="248"/>
      <c r="H52" s="249"/>
      <c r="I52" s="249"/>
      <c r="J52" s="249"/>
      <c r="K52" s="249"/>
      <c r="L52" s="249"/>
      <c r="M52" s="249"/>
      <c r="N52" s="249"/>
      <c r="O52" s="92"/>
      <c r="P52" s="160"/>
      <c r="R52" s="2"/>
      <c r="S52" s="2"/>
      <c r="T52" s="2"/>
    </row>
    <row r="53" spans="1:20" ht="18.75" customHeight="1" x14ac:dyDescent="0.25">
      <c r="A53" s="156"/>
      <c r="B53" s="174" t="s">
        <v>102</v>
      </c>
      <c r="C53" s="175"/>
      <c r="D53" s="42">
        <f>+J16</f>
        <v>97210</v>
      </c>
      <c r="E53" s="42">
        <v>0.32</v>
      </c>
      <c r="F53" s="177">
        <f>+D53*E53</f>
        <v>31107.200000000001</v>
      </c>
      <c r="G53" s="178"/>
      <c r="H53" s="176"/>
      <c r="I53" s="176"/>
      <c r="J53" s="176"/>
      <c r="K53" s="176"/>
      <c r="L53" s="176"/>
      <c r="M53" s="176"/>
      <c r="N53" s="176"/>
      <c r="O53" s="92"/>
      <c r="P53" s="160"/>
      <c r="R53" s="2"/>
      <c r="S53" s="2"/>
      <c r="T53" s="2"/>
    </row>
    <row r="54" spans="1:20" ht="18.75" customHeight="1" x14ac:dyDescent="0.25">
      <c r="A54" s="156"/>
      <c r="B54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--------</v>
      </c>
      <c r="C54" s="267"/>
      <c r="D54" s="267"/>
      <c r="E54" s="267"/>
      <c r="F54" s="267"/>
      <c r="G54" s="267"/>
      <c r="H54" s="267"/>
      <c r="I54" s="267"/>
      <c r="J54" s="267"/>
      <c r="K54" s="267"/>
      <c r="L54" s="267"/>
      <c r="M54" s="267"/>
      <c r="N54" s="267"/>
      <c r="O54" s="268"/>
      <c r="P54" s="160"/>
      <c r="Q54" s="2"/>
      <c r="R54" s="2"/>
      <c r="S54" s="2"/>
    </row>
    <row r="55" spans="1:20" ht="18.75" customHeight="1" x14ac:dyDescent="0.25">
      <c r="A55" s="156"/>
      <c r="B55" s="174" t="s">
        <v>103</v>
      </c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69"/>
      <c r="P55" s="160"/>
      <c r="Q55" s="2"/>
      <c r="R55" s="2"/>
    </row>
    <row r="56" spans="1:20" ht="18.75" customHeight="1" x14ac:dyDescent="0.25">
      <c r="A56" s="156"/>
      <c r="B56" s="174" t="s">
        <v>104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69"/>
      <c r="P56" s="160"/>
    </row>
    <row r="57" spans="1:20" ht="18.75" customHeight="1" thickBot="1" x14ac:dyDescent="0.3">
      <c r="A57" s="156"/>
      <c r="B57" s="258" t="s">
        <v>105</v>
      </c>
      <c r="C57" s="259"/>
      <c r="D57" s="270"/>
      <c r="E57" s="13" t="s">
        <v>106</v>
      </c>
      <c r="F57" s="13">
        <v>0</v>
      </c>
      <c r="G57" s="13"/>
      <c r="H57" s="271" t="s">
        <v>107</v>
      </c>
      <c r="I57" s="270"/>
      <c r="J57" s="13">
        <v>0</v>
      </c>
      <c r="K57" s="44"/>
      <c r="L57" s="44"/>
      <c r="M57" s="44"/>
      <c r="N57" s="272"/>
      <c r="O57" s="273"/>
      <c r="P57" s="160"/>
    </row>
    <row r="58" spans="1:20" ht="18.75" customHeight="1" thickBot="1" x14ac:dyDescent="0.3">
      <c r="A58" s="156"/>
      <c r="B58" s="250"/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160"/>
    </row>
    <row r="59" spans="1:20" ht="21" customHeight="1" x14ac:dyDescent="0.25">
      <c r="A59" s="156"/>
      <c r="B59" s="252" t="s">
        <v>108</v>
      </c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4"/>
      <c r="P59" s="160"/>
      <c r="Q59" s="2"/>
      <c r="R59" s="2"/>
    </row>
    <row r="60" spans="1:20" ht="25.5" customHeight="1" x14ac:dyDescent="0.25">
      <c r="A60" s="156"/>
      <c r="B60" s="255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7"/>
      <c r="P60" s="160"/>
      <c r="Q60" s="2"/>
    </row>
    <row r="61" spans="1:20" ht="18" customHeight="1" thickBot="1" x14ac:dyDescent="0.3">
      <c r="A61" s="156"/>
      <c r="B61" s="258" t="s">
        <v>109</v>
      </c>
      <c r="C61" s="259"/>
      <c r="D61" s="259"/>
      <c r="E61" s="259"/>
      <c r="F61" s="259"/>
      <c r="G61" s="259"/>
      <c r="H61" s="259"/>
      <c r="I61" s="259"/>
      <c r="J61" s="259"/>
      <c r="K61" s="259"/>
      <c r="L61" s="259"/>
      <c r="M61" s="259"/>
      <c r="N61" s="259"/>
      <c r="O61" s="260"/>
      <c r="P61" s="160"/>
      <c r="Q61" s="2"/>
    </row>
    <row r="62" spans="1:20" x14ac:dyDescent="0.25">
      <c r="A62" s="156"/>
      <c r="B62" s="261"/>
      <c r="C62" s="262"/>
      <c r="D62" s="262"/>
      <c r="E62" s="262"/>
      <c r="F62" s="262"/>
      <c r="G62" s="262"/>
      <c r="H62" s="262"/>
      <c r="I62" s="262"/>
      <c r="J62" s="262"/>
      <c r="K62" s="262"/>
      <c r="L62" s="262"/>
      <c r="M62" s="262"/>
      <c r="N62" s="262"/>
      <c r="O62" s="262"/>
      <c r="P62" s="160"/>
    </row>
    <row r="63" spans="1:20" ht="18" customHeight="1" x14ac:dyDescent="0.25">
      <c r="A63" s="156"/>
      <c r="B63" s="263"/>
      <c r="C63" s="264"/>
      <c r="D63" s="265" t="s">
        <v>110</v>
      </c>
      <c r="E63" s="265"/>
      <c r="F63" s="265"/>
      <c r="G63" s="265"/>
      <c r="H63" s="265"/>
      <c r="I63" s="45"/>
      <c r="J63" s="45"/>
      <c r="K63" s="94"/>
      <c r="L63" s="94"/>
      <c r="M63" s="94"/>
      <c r="N63" s="94"/>
      <c r="O63" s="94"/>
      <c r="P63" s="160"/>
    </row>
    <row r="64" spans="1:20" ht="18" customHeight="1" x14ac:dyDescent="0.25">
      <c r="A64" s="156"/>
      <c r="B64" s="93"/>
      <c r="C64" s="94"/>
      <c r="D64" s="274" t="s">
        <v>111</v>
      </c>
      <c r="E64" s="274"/>
      <c r="F64" s="274" t="s">
        <v>112</v>
      </c>
      <c r="G64" s="274"/>
      <c r="H64" s="274"/>
      <c r="I64" s="94"/>
      <c r="J64" s="94"/>
      <c r="K64" s="94"/>
      <c r="L64" s="94"/>
      <c r="M64" s="94"/>
      <c r="N64" s="94"/>
      <c r="O64" s="94"/>
      <c r="P64" s="160"/>
    </row>
    <row r="65" spans="1:16" ht="18" customHeight="1" x14ac:dyDescent="0.25">
      <c r="A65" s="156"/>
      <c r="B65" s="93"/>
      <c r="C65" s="94"/>
      <c r="D65" s="274" t="s">
        <v>113</v>
      </c>
      <c r="E65" s="274"/>
      <c r="F65" s="274" t="s">
        <v>137</v>
      </c>
      <c r="G65" s="274"/>
      <c r="H65" s="274"/>
      <c r="I65" s="94"/>
      <c r="J65" s="94"/>
      <c r="K65" s="94"/>
      <c r="L65" s="94"/>
      <c r="M65" s="94"/>
      <c r="N65" s="94"/>
      <c r="O65" s="94"/>
      <c r="P65" s="160"/>
    </row>
    <row r="66" spans="1:16" ht="18" customHeight="1" x14ac:dyDescent="0.25">
      <c r="A66" s="156"/>
      <c r="B66" s="93"/>
      <c r="C66" s="94"/>
      <c r="D66" s="274" t="s">
        <v>114</v>
      </c>
      <c r="E66" s="274"/>
      <c r="F66" s="274" t="s">
        <v>115</v>
      </c>
      <c r="G66" s="274"/>
      <c r="H66" s="274"/>
      <c r="I66" s="45"/>
      <c r="J66" s="94"/>
      <c r="K66" s="94"/>
      <c r="L66" s="94"/>
      <c r="M66" s="94"/>
      <c r="N66" s="94"/>
      <c r="O66" s="94"/>
      <c r="P66" s="160"/>
    </row>
    <row r="67" spans="1:16" ht="18" customHeight="1" x14ac:dyDescent="0.25">
      <c r="A67" s="156"/>
      <c r="B67" s="93"/>
      <c r="C67" s="94"/>
      <c r="D67" s="274" t="s">
        <v>116</v>
      </c>
      <c r="E67" s="274"/>
      <c r="F67" s="274" t="s">
        <v>117</v>
      </c>
      <c r="G67" s="274"/>
      <c r="H67" s="274"/>
      <c r="I67" s="45"/>
      <c r="J67" s="94"/>
      <c r="K67" s="94"/>
      <c r="L67" s="94"/>
      <c r="M67" s="94"/>
      <c r="N67" s="94"/>
      <c r="O67" s="94"/>
      <c r="P67" s="160"/>
    </row>
    <row r="68" spans="1:16" x14ac:dyDescent="0.25">
      <c r="A68" s="156"/>
      <c r="B68" s="93"/>
      <c r="C68" s="94"/>
      <c r="D68" s="274" t="s">
        <v>118</v>
      </c>
      <c r="E68" s="274"/>
      <c r="F68" s="274" t="s">
        <v>119</v>
      </c>
      <c r="G68" s="274"/>
      <c r="H68" s="274"/>
      <c r="I68" s="45"/>
      <c r="J68" s="94"/>
      <c r="K68" s="94"/>
      <c r="L68" s="94"/>
      <c r="M68" s="94"/>
      <c r="N68" s="94"/>
      <c r="O68" s="94"/>
      <c r="P68" s="160"/>
    </row>
    <row r="69" spans="1:16" x14ac:dyDescent="0.25">
      <c r="A69" s="156"/>
      <c r="B69" s="93"/>
      <c r="C69" s="94"/>
      <c r="D69" s="274" t="s">
        <v>120</v>
      </c>
      <c r="E69" s="274"/>
      <c r="F69" s="275">
        <f>+O51</f>
        <v>-249328.96199999499</v>
      </c>
      <c r="G69" s="275"/>
      <c r="H69" s="275"/>
      <c r="I69" s="45"/>
      <c r="J69" s="94"/>
      <c r="K69" s="94"/>
      <c r="L69" s="94"/>
      <c r="M69" s="94"/>
      <c r="N69" s="94"/>
      <c r="O69" s="94"/>
      <c r="P69" s="160"/>
    </row>
    <row r="70" spans="1:16" ht="15.75" thickBot="1" x14ac:dyDescent="0.3">
      <c r="A70" s="157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161"/>
    </row>
  </sheetData>
  <mergeCells count="150">
    <mergeCell ref="D67:E67"/>
    <mergeCell ref="F67:H67"/>
    <mergeCell ref="D68:E68"/>
    <mergeCell ref="F68:H68"/>
    <mergeCell ref="D69:E69"/>
    <mergeCell ref="F69:H69"/>
    <mergeCell ref="D64:E64"/>
    <mergeCell ref="F64:H64"/>
    <mergeCell ref="D65:E65"/>
    <mergeCell ref="F65:H65"/>
    <mergeCell ref="D66:E66"/>
    <mergeCell ref="F66:H66"/>
    <mergeCell ref="B58:O58"/>
    <mergeCell ref="B59:O59"/>
    <mergeCell ref="B60:O60"/>
    <mergeCell ref="B61:O61"/>
    <mergeCell ref="B62:O62"/>
    <mergeCell ref="B63:C63"/>
    <mergeCell ref="D63:H63"/>
    <mergeCell ref="B54:O54"/>
    <mergeCell ref="B55:O55"/>
    <mergeCell ref="B56:O56"/>
    <mergeCell ref="B57:D57"/>
    <mergeCell ref="H57:I57"/>
    <mergeCell ref="N57:O57"/>
    <mergeCell ref="B52:C52"/>
    <mergeCell ref="F52:G52"/>
    <mergeCell ref="H52:N52"/>
    <mergeCell ref="B53:C53"/>
    <mergeCell ref="F53:G53"/>
    <mergeCell ref="H53:N53"/>
    <mergeCell ref="B50:C50"/>
    <mergeCell ref="F50:G50"/>
    <mergeCell ref="H50:N50"/>
    <mergeCell ref="B51:C51"/>
    <mergeCell ref="F51:G51"/>
    <mergeCell ref="H51:N51"/>
    <mergeCell ref="B48:C48"/>
    <mergeCell ref="F48:G48"/>
    <mergeCell ref="H48:N48"/>
    <mergeCell ref="B49:C49"/>
    <mergeCell ref="F49:G49"/>
    <mergeCell ref="H49:N49"/>
    <mergeCell ref="B46:C46"/>
    <mergeCell ref="F46:G46"/>
    <mergeCell ref="H46:N46"/>
    <mergeCell ref="B47:C47"/>
    <mergeCell ref="F47:G47"/>
    <mergeCell ref="H47:N47"/>
    <mergeCell ref="B44:C44"/>
    <mergeCell ref="F44:G44"/>
    <mergeCell ref="H44:N44"/>
    <mergeCell ref="B45:C45"/>
    <mergeCell ref="F45:G45"/>
    <mergeCell ref="H45:N45"/>
    <mergeCell ref="B42:C42"/>
    <mergeCell ref="F42:G42"/>
    <mergeCell ref="H42:N42"/>
    <mergeCell ref="B43:C43"/>
    <mergeCell ref="F43:G43"/>
    <mergeCell ref="H43:N43"/>
    <mergeCell ref="B40:C40"/>
    <mergeCell ref="F40:G40"/>
    <mergeCell ref="H40:N40"/>
    <mergeCell ref="B41:C41"/>
    <mergeCell ref="F41:G41"/>
    <mergeCell ref="H41:N41"/>
    <mergeCell ref="B38:C38"/>
    <mergeCell ref="F38:G38"/>
    <mergeCell ref="H38:N38"/>
    <mergeCell ref="B39:C39"/>
    <mergeCell ref="F39:G39"/>
    <mergeCell ref="H39:N39"/>
    <mergeCell ref="B36:C36"/>
    <mergeCell ref="F36:G36"/>
    <mergeCell ref="H36:N36"/>
    <mergeCell ref="B37:C37"/>
    <mergeCell ref="F37:G37"/>
    <mergeCell ref="H37:N37"/>
    <mergeCell ref="B34:C34"/>
    <mergeCell ref="F34:G34"/>
    <mergeCell ref="H34:N34"/>
    <mergeCell ref="B35:C35"/>
    <mergeCell ref="F35:G35"/>
    <mergeCell ref="H35:N35"/>
    <mergeCell ref="B32:C32"/>
    <mergeCell ref="F32:G32"/>
    <mergeCell ref="H32:N32"/>
    <mergeCell ref="B33:C33"/>
    <mergeCell ref="F33:G33"/>
    <mergeCell ref="H33:N33"/>
    <mergeCell ref="B30:C30"/>
    <mergeCell ref="F30:G30"/>
    <mergeCell ref="H30:N30"/>
    <mergeCell ref="B31:C31"/>
    <mergeCell ref="F31:G31"/>
    <mergeCell ref="H31:N31"/>
    <mergeCell ref="Q16:S16"/>
    <mergeCell ref="B17:O17"/>
    <mergeCell ref="H18:O18"/>
    <mergeCell ref="B28:O28"/>
    <mergeCell ref="B29:G29"/>
    <mergeCell ref="H29:O29"/>
    <mergeCell ref="B25:C25"/>
    <mergeCell ref="B24:C24"/>
    <mergeCell ref="B15:E15"/>
    <mergeCell ref="F15:I15"/>
    <mergeCell ref="K15:N15"/>
    <mergeCell ref="B16:E16"/>
    <mergeCell ref="F16:I16"/>
    <mergeCell ref="K16:N16"/>
    <mergeCell ref="J7:K7"/>
    <mergeCell ref="L7:M7"/>
    <mergeCell ref="N7:O7"/>
    <mergeCell ref="B13:E13"/>
    <mergeCell ref="F13:I13"/>
    <mergeCell ref="K13:N13"/>
    <mergeCell ref="B14:E14"/>
    <mergeCell ref="F14:I14"/>
    <mergeCell ref="K14:N14"/>
    <mergeCell ref="B11:E11"/>
    <mergeCell ref="F11:I11"/>
    <mergeCell ref="K11:N11"/>
    <mergeCell ref="B12:E12"/>
    <mergeCell ref="F12:I12"/>
    <mergeCell ref="K12:N12"/>
    <mergeCell ref="A1:A70"/>
    <mergeCell ref="B1:O1"/>
    <mergeCell ref="P1:P70"/>
    <mergeCell ref="B2:B4"/>
    <mergeCell ref="C2:O2"/>
    <mergeCell ref="C3:O3"/>
    <mergeCell ref="C4:O4"/>
    <mergeCell ref="B5:O5"/>
    <mergeCell ref="D6:E6"/>
    <mergeCell ref="F6:G6"/>
    <mergeCell ref="B8:O8"/>
    <mergeCell ref="B9:E9"/>
    <mergeCell ref="F9:I9"/>
    <mergeCell ref="K9:N9"/>
    <mergeCell ref="B10:E10"/>
    <mergeCell ref="F10:I10"/>
    <mergeCell ref="K10:N10"/>
    <mergeCell ref="H6:I6"/>
    <mergeCell ref="J6:K6"/>
    <mergeCell ref="L6:M6"/>
    <mergeCell ref="N6:O6"/>
    <mergeCell ref="D7:E7"/>
    <mergeCell ref="F7:G7"/>
    <mergeCell ref="H7:I7"/>
  </mergeCells>
  <pageMargins left="0.5" right="0.45" top="0.5" bottom="0.25" header="0.3" footer="0.3"/>
  <pageSetup paperSize="9" scale="59" orientation="portrait" verticalDpi="0" r:id="rId1"/>
  <colBreaks count="1" manualBreakCount="1">
    <brk id="16" max="1048575" man="1"/>
  </colBreaks>
  <ignoredErrors>
    <ignoredError sqref="D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22" zoomScaleNormal="100" workbookViewId="0">
      <selection activeCell="Q45" sqref="Q45"/>
    </sheetView>
  </sheetViews>
  <sheetFormatPr defaultRowHeight="15" x14ac:dyDescent="0.25"/>
  <cols>
    <col min="1" max="1" width="1.7109375" customWidth="1"/>
    <col min="2" max="2" width="18" customWidth="1"/>
    <col min="3" max="3" width="13.710937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20" width="8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ROUND(O49,0)</f>
        <v>-25403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108">
        <v>1700474</v>
      </c>
      <c r="D7" s="180" t="s">
        <v>10</v>
      </c>
      <c r="E7" s="180"/>
      <c r="F7" s="180" t="s">
        <v>138</v>
      </c>
      <c r="G7" s="180"/>
      <c r="H7" s="180" t="s">
        <v>142</v>
      </c>
      <c r="I7" s="180"/>
      <c r="J7" s="181">
        <v>45689</v>
      </c>
      <c r="K7" s="181"/>
      <c r="L7" s="181">
        <v>45703</v>
      </c>
      <c r="M7" s="181"/>
      <c r="N7" s="181" t="s">
        <v>143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x14ac:dyDescent="0.25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272.39999999999998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106" t="s">
        <v>18</v>
      </c>
      <c r="K11" s="185" t="s">
        <v>19</v>
      </c>
      <c r="L11" s="186"/>
      <c r="M11" s="186"/>
      <c r="N11" s="187"/>
      <c r="O11" s="57"/>
      <c r="P11" s="276"/>
      <c r="Q11" s="101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106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276"/>
      <c r="Q12" s="102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276"/>
      <c r="Q13" s="103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276"/>
      <c r="Q14" s="10" t="s">
        <v>31</v>
      </c>
      <c r="R14" s="86">
        <v>100000</v>
      </c>
      <c r="S14" s="86"/>
      <c r="T14" s="86">
        <f>+R14+S14</f>
        <v>100000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276"/>
      <c r="Q15" s="100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100000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13688</v>
      </c>
      <c r="D19" s="15">
        <v>0.13619999999999999</v>
      </c>
      <c r="E19" s="16">
        <v>102.313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12595.1</v>
      </c>
      <c r="D20" s="15">
        <v>0.13919999999999999</v>
      </c>
      <c r="E20" s="16">
        <v>48.453000000000003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1092.8999999999996</v>
      </c>
      <c r="D21" s="24">
        <f>+D19</f>
        <v>0.13619999999999999</v>
      </c>
      <c r="E21" s="106">
        <f>+E19-E20</f>
        <v>53.86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1092.8999999999996</v>
      </c>
      <c r="D23" s="33">
        <f>+D21*D22</f>
        <v>272.39999999999998</v>
      </c>
      <c r="E23" s="33">
        <f>+E22*E21</f>
        <v>107720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9.5" customHeight="1" x14ac:dyDescent="0.25">
      <c r="A24" s="156"/>
      <c r="B24" s="90" t="s">
        <v>61</v>
      </c>
      <c r="C24" s="71"/>
      <c r="D24" s="33">
        <v>0</v>
      </c>
      <c r="E24" s="50">
        <f>+O12+J12+J13+O13+J16</f>
        <v>100000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1092.8999999999996</v>
      </c>
      <c r="D25" s="76">
        <f>+D23</f>
        <v>272.39999999999998</v>
      </c>
      <c r="E25" s="77">
        <f>E23-E24</f>
        <v>7720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/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(F33+F34+O22+O23+F35+F36+O20)*9/100</f>
        <v>4902.3171000000002</v>
      </c>
      <c r="P28" s="160"/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340</v>
      </c>
      <c r="F29" s="213">
        <f>+D29*E29</f>
        <v>110160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/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20000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+T38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7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0" ht="18.75" customHeight="1" x14ac:dyDescent="0.25">
      <c r="A33" s="156"/>
      <c r="B33" s="211" t="s">
        <v>77</v>
      </c>
      <c r="C33" s="212"/>
      <c r="D33" s="109">
        <f>E25-C25</f>
        <v>6627.1</v>
      </c>
      <c r="E33" s="34">
        <v>6.9</v>
      </c>
      <c r="F33" s="229">
        <f t="shared" si="2"/>
        <v>45726.990000000005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0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30"/>
      <c r="S34" s="23"/>
      <c r="T34" s="30"/>
    </row>
    <row r="35" spans="1:20" ht="18.75" customHeight="1" x14ac:dyDescent="0.25">
      <c r="A35" s="156"/>
      <c r="B35" s="211" t="s">
        <v>129</v>
      </c>
      <c r="C35" s="212"/>
      <c r="D35" s="34">
        <f>+C25</f>
        <v>1092.8999999999996</v>
      </c>
      <c r="E35" s="34">
        <v>8</v>
      </c>
      <c r="F35" s="229">
        <f t="shared" si="2"/>
        <v>8743.1999999999971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30"/>
      <c r="S35" s="23"/>
      <c r="T35" s="30"/>
    </row>
    <row r="36" spans="1:20" ht="18.75" customHeight="1" x14ac:dyDescent="0.25">
      <c r="A36" s="156"/>
      <c r="B36" s="211" t="s">
        <v>130</v>
      </c>
      <c r="C36" s="212"/>
      <c r="D36" s="37"/>
      <c r="E36" s="34"/>
      <c r="F36" s="229">
        <f t="shared" si="2"/>
        <v>0</v>
      </c>
      <c r="G36" s="230"/>
      <c r="H36" s="242" t="s">
        <v>81</v>
      </c>
      <c r="I36" s="243"/>
      <c r="J36" s="243"/>
      <c r="K36" s="243"/>
      <c r="L36" s="243"/>
      <c r="M36" s="243"/>
      <c r="N36" s="244"/>
      <c r="O36" s="69">
        <f>+O28+O29+O30+O31+O32+O33+O34</f>
        <v>24902.3171</v>
      </c>
      <c r="P36" s="160"/>
      <c r="R36" s="30"/>
      <c r="S36" s="30"/>
      <c r="T36" s="36"/>
    </row>
    <row r="37" spans="1:20" ht="18.75" customHeight="1" thickBot="1" x14ac:dyDescent="0.3">
      <c r="A37" s="156"/>
      <c r="B37" s="211" t="s">
        <v>82</v>
      </c>
      <c r="C37" s="212"/>
      <c r="D37" s="50">
        <f>+E25</f>
        <v>7720</v>
      </c>
      <c r="E37" s="34">
        <v>0.31</v>
      </c>
      <c r="F37" s="229">
        <f t="shared" si="2"/>
        <v>2393.1999999999998</v>
      </c>
      <c r="G37" s="230"/>
      <c r="H37" s="215" t="s">
        <v>83</v>
      </c>
      <c r="I37" s="216"/>
      <c r="J37" s="216"/>
      <c r="K37" s="216"/>
      <c r="L37" s="216"/>
      <c r="M37" s="216"/>
      <c r="N37" s="217"/>
      <c r="O37" s="75">
        <v>0</v>
      </c>
      <c r="P37" s="160"/>
      <c r="R37" s="107"/>
      <c r="S37" s="30"/>
      <c r="T37" s="36"/>
    </row>
    <row r="38" spans="1:20" s="39" customFormat="1" ht="18.75" customHeight="1" thickBot="1" x14ac:dyDescent="0.3">
      <c r="A38" s="156"/>
      <c r="B38" s="234" t="s">
        <v>131</v>
      </c>
      <c r="C38" s="235"/>
      <c r="D38" s="83"/>
      <c r="E38" s="38"/>
      <c r="F38" s="229">
        <v>0</v>
      </c>
      <c r="G38" s="230"/>
      <c r="H38" s="236" t="s">
        <v>132</v>
      </c>
      <c r="I38" s="237"/>
      <c r="J38" s="237"/>
      <c r="K38" s="237"/>
      <c r="L38" s="237"/>
      <c r="M38" s="237"/>
      <c r="N38" s="238"/>
      <c r="O38" s="69">
        <v>0</v>
      </c>
      <c r="P38" s="160"/>
      <c r="Q38" s="2"/>
      <c r="R38" s="2"/>
      <c r="S38" s="7"/>
      <c r="T38" s="82"/>
    </row>
    <row r="39" spans="1:20" ht="18.75" customHeight="1" x14ac:dyDescent="0.25">
      <c r="A39" s="156"/>
      <c r="B39" s="211" t="s">
        <v>85</v>
      </c>
      <c r="C39" s="212"/>
      <c r="D39" s="35"/>
      <c r="E39" s="25"/>
      <c r="F39" s="229">
        <f>+O25</f>
        <v>0</v>
      </c>
      <c r="G39" s="230"/>
      <c r="H39" s="226" t="s">
        <v>86</v>
      </c>
      <c r="I39" s="227"/>
      <c r="J39" s="227"/>
      <c r="K39" s="227"/>
      <c r="L39" s="227"/>
      <c r="M39" s="227"/>
      <c r="N39" s="228"/>
      <c r="O39" s="69">
        <f>+O37+O38</f>
        <v>0</v>
      </c>
      <c r="P39" s="160"/>
      <c r="Q39" s="81"/>
      <c r="R39" s="39"/>
      <c r="S39" s="39"/>
      <c r="T39" s="39"/>
    </row>
    <row r="40" spans="1:20" ht="28.5" customHeight="1" x14ac:dyDescent="0.25">
      <c r="A40" s="156"/>
      <c r="B40" s="211" t="s">
        <v>87</v>
      </c>
      <c r="C40" s="212"/>
      <c r="D40" s="25"/>
      <c r="E40" s="25"/>
      <c r="F40" s="213">
        <v>0</v>
      </c>
      <c r="G40" s="214"/>
      <c r="H40" s="226" t="s">
        <v>88</v>
      </c>
      <c r="I40" s="227"/>
      <c r="J40" s="227"/>
      <c r="K40" s="227"/>
      <c r="L40" s="227"/>
      <c r="M40" s="227"/>
      <c r="N40" s="228"/>
      <c r="O40" s="69">
        <f>+F29+F30+F31+F32+F33+F34+F35+F36+F37+F38+F39+F40+F41+F42+F43+F44+F45+F46+F47+F48+F49+F50+O36+O39+F51</f>
        <v>223925.7071</v>
      </c>
      <c r="P40" s="160"/>
      <c r="R40" s="2"/>
    </row>
    <row r="41" spans="1:20" ht="18.75" customHeight="1" x14ac:dyDescent="0.25">
      <c r="A41" s="156"/>
      <c r="B41" s="218" t="s">
        <v>89</v>
      </c>
      <c r="C41" s="219"/>
      <c r="D41" s="25"/>
      <c r="E41" s="25"/>
      <c r="F41" s="213">
        <v>0</v>
      </c>
      <c r="G41" s="214"/>
      <c r="H41" s="226" t="s">
        <v>90</v>
      </c>
      <c r="I41" s="227"/>
      <c r="J41" s="227"/>
      <c r="K41" s="227"/>
      <c r="L41" s="227"/>
      <c r="M41" s="227"/>
      <c r="N41" s="228"/>
      <c r="O41" s="75" t="s">
        <v>68</v>
      </c>
      <c r="P41" s="160"/>
    </row>
    <row r="42" spans="1:20" ht="18.75" customHeight="1" x14ac:dyDescent="0.25">
      <c r="A42" s="156"/>
      <c r="B42" s="211" t="s">
        <v>91</v>
      </c>
      <c r="C42" s="212"/>
      <c r="D42" s="25"/>
      <c r="E42" s="25"/>
      <c r="F42" s="213">
        <v>0</v>
      </c>
      <c r="G42" s="214"/>
      <c r="H42" s="224"/>
      <c r="I42" s="245"/>
      <c r="J42" s="245"/>
      <c r="K42" s="245"/>
      <c r="L42" s="245"/>
      <c r="M42" s="245"/>
      <c r="N42" s="225"/>
      <c r="O42" s="75"/>
      <c r="P42" s="160"/>
    </row>
    <row r="43" spans="1:20" ht="18.75" customHeight="1" x14ac:dyDescent="0.25">
      <c r="A43" s="156"/>
      <c r="B43" s="218" t="s">
        <v>133</v>
      </c>
      <c r="C43" s="219"/>
      <c r="D43" s="25"/>
      <c r="E43" s="25"/>
      <c r="F43" s="213">
        <v>0</v>
      </c>
      <c r="G43" s="214"/>
      <c r="H43" s="215" t="s">
        <v>92</v>
      </c>
      <c r="I43" s="216"/>
      <c r="J43" s="216"/>
      <c r="K43" s="216"/>
      <c r="L43" s="216"/>
      <c r="M43" s="216"/>
      <c r="N43" s="217"/>
      <c r="O43" s="69">
        <v>-249329</v>
      </c>
      <c r="P43" s="160"/>
    </row>
    <row r="44" spans="1:20" ht="21" customHeight="1" x14ac:dyDescent="0.25">
      <c r="A44" s="156"/>
      <c r="B44" s="218" t="s">
        <v>134</v>
      </c>
      <c r="C44" s="219"/>
      <c r="D44" s="33">
        <f>+J13</f>
        <v>0</v>
      </c>
      <c r="E44" s="33">
        <v>1.92</v>
      </c>
      <c r="F44" s="213">
        <f>+D44*E44</f>
        <v>0</v>
      </c>
      <c r="G44" s="214"/>
      <c r="H44" s="215" t="s">
        <v>84</v>
      </c>
      <c r="I44" s="216"/>
      <c r="J44" s="216"/>
      <c r="K44" s="216"/>
      <c r="L44" s="216"/>
      <c r="M44" s="216"/>
      <c r="N44" s="217"/>
      <c r="O44" s="69">
        <v>0</v>
      </c>
      <c r="P44" s="160"/>
    </row>
    <row r="45" spans="1:20" ht="29.25" customHeight="1" x14ac:dyDescent="0.25">
      <c r="A45" s="156"/>
      <c r="B45" s="218" t="s">
        <v>135</v>
      </c>
      <c r="C45" s="219"/>
      <c r="D45" s="33">
        <f>+O13</f>
        <v>0</v>
      </c>
      <c r="E45" s="33">
        <v>1.92</v>
      </c>
      <c r="F45" s="246">
        <f>+D45*E45</f>
        <v>0</v>
      </c>
      <c r="G45" s="247"/>
      <c r="H45" s="215" t="s">
        <v>93</v>
      </c>
      <c r="I45" s="216"/>
      <c r="J45" s="216"/>
      <c r="K45" s="216"/>
      <c r="L45" s="216"/>
      <c r="M45" s="216"/>
      <c r="N45" s="217"/>
      <c r="O45" s="69">
        <v>0</v>
      </c>
      <c r="P45" s="160"/>
      <c r="Q45" s="84"/>
      <c r="R45" s="2"/>
    </row>
    <row r="46" spans="1:20" ht="18.75" customHeight="1" x14ac:dyDescent="0.25">
      <c r="A46" s="156"/>
      <c r="B46" s="218" t="s">
        <v>94</v>
      </c>
      <c r="C46" s="219"/>
      <c r="D46" s="33">
        <f>+J13</f>
        <v>0</v>
      </c>
      <c r="E46" s="34">
        <v>1.37</v>
      </c>
      <c r="F46" s="213">
        <f>+D46*E46</f>
        <v>0</v>
      </c>
      <c r="G46" s="214"/>
      <c r="H46" s="215" t="s">
        <v>95</v>
      </c>
      <c r="I46" s="216"/>
      <c r="J46" s="216"/>
      <c r="K46" s="216"/>
      <c r="L46" s="216"/>
      <c r="M46" s="216"/>
      <c r="N46" s="217"/>
      <c r="O46" s="69">
        <v>0</v>
      </c>
      <c r="P46" s="160"/>
      <c r="R46" s="2"/>
    </row>
    <row r="47" spans="1:20" ht="29.25" customHeight="1" x14ac:dyDescent="0.25">
      <c r="A47" s="156"/>
      <c r="B47" s="218" t="s">
        <v>96</v>
      </c>
      <c r="C47" s="219"/>
      <c r="D47" s="33">
        <f>+O12+O13</f>
        <v>0</v>
      </c>
      <c r="E47" s="34">
        <v>0.82</v>
      </c>
      <c r="F47" s="246">
        <f>+D47*E47</f>
        <v>0</v>
      </c>
      <c r="G47" s="247"/>
      <c r="H47" s="226" t="s">
        <v>97</v>
      </c>
      <c r="I47" s="227"/>
      <c r="J47" s="227"/>
      <c r="K47" s="227"/>
      <c r="L47" s="227"/>
      <c r="M47" s="227"/>
      <c r="N47" s="228"/>
      <c r="O47" s="69">
        <f>+O42+O43+O44+O45+O46</f>
        <v>-249329</v>
      </c>
      <c r="P47" s="160"/>
      <c r="R47" s="2"/>
      <c r="S47" s="2"/>
    </row>
    <row r="48" spans="1:20" ht="18.75" customHeight="1" x14ac:dyDescent="0.25">
      <c r="A48" s="156"/>
      <c r="B48" s="218" t="s">
        <v>98</v>
      </c>
      <c r="C48" s="219"/>
      <c r="D48" s="33">
        <f>+O16</f>
        <v>0</v>
      </c>
      <c r="E48" s="34">
        <v>-1.9</v>
      </c>
      <c r="F48" s="246">
        <f>+D48*E48</f>
        <v>0</v>
      </c>
      <c r="G48" s="247"/>
      <c r="H48" s="226" t="s">
        <v>99</v>
      </c>
      <c r="I48" s="227"/>
      <c r="J48" s="227"/>
      <c r="K48" s="227"/>
      <c r="L48" s="227"/>
      <c r="M48" s="227"/>
      <c r="N48" s="228"/>
      <c r="O48" s="85">
        <f>+O40+O47</f>
        <v>-25403.2929</v>
      </c>
      <c r="P48" s="160"/>
      <c r="Q48" s="2"/>
      <c r="R48" s="2"/>
      <c r="S48" s="2"/>
    </row>
    <row r="49" spans="1:20" ht="18.75" customHeight="1" x14ac:dyDescent="0.25">
      <c r="A49" s="156"/>
      <c r="B49" s="174" t="s">
        <v>100</v>
      </c>
      <c r="C49" s="175"/>
      <c r="D49" s="40"/>
      <c r="E49" s="106">
        <v>0</v>
      </c>
      <c r="F49" s="213">
        <v>0</v>
      </c>
      <c r="G49" s="214"/>
      <c r="H49" s="226" t="s">
        <v>101</v>
      </c>
      <c r="I49" s="227"/>
      <c r="J49" s="227"/>
      <c r="K49" s="227"/>
      <c r="L49" s="227"/>
      <c r="M49" s="227"/>
      <c r="N49" s="228"/>
      <c r="O49" s="85">
        <f>+O48</f>
        <v>-25403.2929</v>
      </c>
      <c r="P49" s="160"/>
      <c r="Q49" s="2"/>
      <c r="R49" s="2"/>
      <c r="S49" s="2"/>
      <c r="T49" s="2"/>
    </row>
    <row r="50" spans="1:20" ht="27.75" customHeight="1" x14ac:dyDescent="0.25">
      <c r="A50" s="156"/>
      <c r="B50" s="183" t="s">
        <v>136</v>
      </c>
      <c r="C50" s="184"/>
      <c r="D50" s="11"/>
      <c r="E50" s="11"/>
      <c r="F50" s="248">
        <v>0</v>
      </c>
      <c r="G50" s="248"/>
      <c r="H50" s="249"/>
      <c r="I50" s="249"/>
      <c r="J50" s="249"/>
      <c r="K50" s="249"/>
      <c r="L50" s="249"/>
      <c r="M50" s="249"/>
      <c r="N50" s="249"/>
      <c r="O50" s="92"/>
      <c r="P50" s="160"/>
      <c r="R50" s="2"/>
      <c r="S50" s="2"/>
      <c r="T50" s="2"/>
    </row>
    <row r="51" spans="1:20" ht="18.75" customHeight="1" x14ac:dyDescent="0.25">
      <c r="A51" s="156"/>
      <c r="B51" s="174" t="s">
        <v>102</v>
      </c>
      <c r="C51" s="175"/>
      <c r="D51" s="42">
        <f>+J16</f>
        <v>100000</v>
      </c>
      <c r="E51" s="42">
        <v>0.32</v>
      </c>
      <c r="F51" s="177">
        <f>+D51*E51</f>
        <v>32000</v>
      </c>
      <c r="G51" s="178"/>
      <c r="H51" s="176"/>
      <c r="I51" s="176"/>
      <c r="J51" s="176"/>
      <c r="K51" s="176"/>
      <c r="L51" s="176"/>
      <c r="M51" s="176"/>
      <c r="N51" s="176"/>
      <c r="O51" s="92"/>
      <c r="P51" s="160"/>
      <c r="R51" s="2"/>
      <c r="S51" s="2"/>
      <c r="T51" s="2"/>
    </row>
    <row r="52" spans="1:20" ht="18.75" customHeight="1" x14ac:dyDescent="0.25">
      <c r="A52" s="156"/>
      <c r="B52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--------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8"/>
      <c r="P52" s="160"/>
      <c r="Q52" s="2"/>
      <c r="R52" s="2"/>
      <c r="S52" s="2"/>
    </row>
    <row r="53" spans="1:20" ht="18.75" customHeight="1" x14ac:dyDescent="0.25">
      <c r="A53" s="156"/>
      <c r="B53" s="174" t="s">
        <v>103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69"/>
      <c r="P53" s="160"/>
      <c r="Q53" s="2"/>
      <c r="R53" s="2"/>
    </row>
    <row r="54" spans="1:20" ht="18.75" customHeight="1" x14ac:dyDescent="0.25">
      <c r="A54" s="156"/>
      <c r="B54" s="174" t="s">
        <v>104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69"/>
      <c r="P54" s="160"/>
    </row>
    <row r="55" spans="1:20" ht="18.75" customHeight="1" thickBot="1" x14ac:dyDescent="0.3">
      <c r="A55" s="156"/>
      <c r="B55" s="258" t="s">
        <v>105</v>
      </c>
      <c r="C55" s="259"/>
      <c r="D55" s="270"/>
      <c r="E55" s="13" t="s">
        <v>106</v>
      </c>
      <c r="F55" s="13">
        <v>0</v>
      </c>
      <c r="G55" s="13"/>
      <c r="H55" s="271" t="s">
        <v>107</v>
      </c>
      <c r="I55" s="270"/>
      <c r="J55" s="13">
        <v>0</v>
      </c>
      <c r="K55" s="44"/>
      <c r="L55" s="44"/>
      <c r="M55" s="44"/>
      <c r="N55" s="272"/>
      <c r="O55" s="273"/>
      <c r="P55" s="160"/>
    </row>
    <row r="56" spans="1:20" ht="18.75" customHeight="1" thickBot="1" x14ac:dyDescent="0.3">
      <c r="A56" s="156"/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160"/>
    </row>
    <row r="57" spans="1:20" ht="21" customHeight="1" x14ac:dyDescent="0.25">
      <c r="A57" s="156"/>
      <c r="B57" s="252" t="s">
        <v>108</v>
      </c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4"/>
      <c r="P57" s="160"/>
      <c r="Q57" s="2"/>
      <c r="R57" s="2"/>
    </row>
    <row r="58" spans="1:20" ht="25.5" customHeight="1" x14ac:dyDescent="0.25">
      <c r="A58" s="156"/>
      <c r="B58" s="255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7"/>
      <c r="P58" s="160"/>
      <c r="Q58" s="2"/>
    </row>
    <row r="59" spans="1:20" ht="18" customHeight="1" thickBot="1" x14ac:dyDescent="0.3">
      <c r="A59" s="156"/>
      <c r="B59" s="258" t="s">
        <v>109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60"/>
      <c r="P59" s="160"/>
      <c r="Q59" s="2"/>
    </row>
    <row r="60" spans="1:20" x14ac:dyDescent="0.25">
      <c r="A60" s="156"/>
      <c r="B60" s="26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160"/>
    </row>
    <row r="61" spans="1:20" ht="18" customHeight="1" x14ac:dyDescent="0.25">
      <c r="A61" s="156"/>
      <c r="B61" s="263"/>
      <c r="C61" s="264"/>
      <c r="D61" s="265" t="s">
        <v>110</v>
      </c>
      <c r="E61" s="265"/>
      <c r="F61" s="265"/>
      <c r="G61" s="265"/>
      <c r="H61" s="265"/>
      <c r="I61" s="45"/>
      <c r="J61" s="45"/>
      <c r="K61" s="105"/>
      <c r="L61" s="105"/>
      <c r="M61" s="105"/>
      <c r="N61" s="105"/>
      <c r="O61" s="105"/>
      <c r="P61" s="160"/>
    </row>
    <row r="62" spans="1:20" ht="18" customHeight="1" x14ac:dyDescent="0.25">
      <c r="A62" s="156"/>
      <c r="B62" s="104"/>
      <c r="C62" s="105"/>
      <c r="D62" s="274" t="s">
        <v>111</v>
      </c>
      <c r="E62" s="274"/>
      <c r="F62" s="274" t="s">
        <v>112</v>
      </c>
      <c r="G62" s="274"/>
      <c r="H62" s="274"/>
      <c r="I62" s="105"/>
      <c r="J62" s="105"/>
      <c r="K62" s="105"/>
      <c r="L62" s="105"/>
      <c r="M62" s="105"/>
      <c r="N62" s="105"/>
      <c r="O62" s="105"/>
      <c r="P62" s="160"/>
    </row>
    <row r="63" spans="1:20" ht="18" customHeight="1" x14ac:dyDescent="0.25">
      <c r="A63" s="156"/>
      <c r="B63" s="104"/>
      <c r="C63" s="105"/>
      <c r="D63" s="274" t="s">
        <v>113</v>
      </c>
      <c r="E63" s="274"/>
      <c r="F63" s="274" t="s">
        <v>137</v>
      </c>
      <c r="G63" s="274"/>
      <c r="H63" s="274"/>
      <c r="I63" s="105"/>
      <c r="J63" s="105"/>
      <c r="K63" s="105"/>
      <c r="L63" s="105"/>
      <c r="M63" s="105"/>
      <c r="N63" s="105"/>
      <c r="O63" s="105"/>
      <c r="P63" s="160"/>
    </row>
    <row r="64" spans="1:20" ht="18" customHeight="1" x14ac:dyDescent="0.25">
      <c r="A64" s="156"/>
      <c r="B64" s="104"/>
      <c r="C64" s="105"/>
      <c r="D64" s="274" t="s">
        <v>114</v>
      </c>
      <c r="E64" s="274"/>
      <c r="F64" s="274" t="s">
        <v>115</v>
      </c>
      <c r="G64" s="274"/>
      <c r="H64" s="274"/>
      <c r="I64" s="45"/>
      <c r="J64" s="105"/>
      <c r="K64" s="105"/>
      <c r="L64" s="105"/>
      <c r="M64" s="105"/>
      <c r="N64" s="105"/>
      <c r="O64" s="105"/>
      <c r="P64" s="160"/>
    </row>
    <row r="65" spans="1:16" ht="18" customHeight="1" x14ac:dyDescent="0.25">
      <c r="A65" s="156"/>
      <c r="B65" s="104"/>
      <c r="C65" s="105"/>
      <c r="D65" s="274" t="s">
        <v>116</v>
      </c>
      <c r="E65" s="274"/>
      <c r="F65" s="274" t="s">
        <v>117</v>
      </c>
      <c r="G65" s="274"/>
      <c r="H65" s="274"/>
      <c r="I65" s="45"/>
      <c r="J65" s="105"/>
      <c r="K65" s="105"/>
      <c r="L65" s="105"/>
      <c r="M65" s="105"/>
      <c r="N65" s="105"/>
      <c r="O65" s="105"/>
      <c r="P65" s="160"/>
    </row>
    <row r="66" spans="1:16" x14ac:dyDescent="0.25">
      <c r="A66" s="156"/>
      <c r="B66" s="104"/>
      <c r="C66" s="105"/>
      <c r="D66" s="274" t="s">
        <v>118</v>
      </c>
      <c r="E66" s="274"/>
      <c r="F66" s="274" t="s">
        <v>119</v>
      </c>
      <c r="G66" s="274"/>
      <c r="H66" s="274"/>
      <c r="I66" s="45"/>
      <c r="J66" s="105"/>
      <c r="K66" s="105"/>
      <c r="L66" s="105"/>
      <c r="M66" s="105"/>
      <c r="N66" s="105"/>
      <c r="O66" s="105"/>
      <c r="P66" s="160"/>
    </row>
    <row r="67" spans="1:16" x14ac:dyDescent="0.25">
      <c r="A67" s="156"/>
      <c r="B67" s="104"/>
      <c r="C67" s="105"/>
      <c r="D67" s="274" t="s">
        <v>120</v>
      </c>
      <c r="E67" s="274"/>
      <c r="F67" s="275">
        <f>+O49</f>
        <v>-25403.2929</v>
      </c>
      <c r="G67" s="275"/>
      <c r="H67" s="275"/>
      <c r="I67" s="45"/>
      <c r="J67" s="105"/>
      <c r="K67" s="105"/>
      <c r="L67" s="105"/>
      <c r="M67" s="105"/>
      <c r="N67" s="105"/>
      <c r="O67" s="105"/>
      <c r="P67" s="160"/>
    </row>
    <row r="68" spans="1:16" ht="15.75" thickBot="1" x14ac:dyDescent="0.3">
      <c r="A68" s="15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161"/>
    </row>
  </sheetData>
  <mergeCells count="148">
    <mergeCell ref="D65:E65"/>
    <mergeCell ref="F65:H65"/>
    <mergeCell ref="D66:E66"/>
    <mergeCell ref="F66:H66"/>
    <mergeCell ref="D67:E67"/>
    <mergeCell ref="F67:H67"/>
    <mergeCell ref="D62:E62"/>
    <mergeCell ref="F62:H62"/>
    <mergeCell ref="D63:E63"/>
    <mergeCell ref="F63:H63"/>
    <mergeCell ref="D64:E64"/>
    <mergeCell ref="F64:H64"/>
    <mergeCell ref="B56:O56"/>
    <mergeCell ref="B57:O57"/>
    <mergeCell ref="B58:O58"/>
    <mergeCell ref="B59:O59"/>
    <mergeCell ref="B60:O60"/>
    <mergeCell ref="B61:C61"/>
    <mergeCell ref="D61:H61"/>
    <mergeCell ref="B52:O52"/>
    <mergeCell ref="B53:O53"/>
    <mergeCell ref="B54:O54"/>
    <mergeCell ref="B55:D55"/>
    <mergeCell ref="H55:I55"/>
    <mergeCell ref="N55:O55"/>
    <mergeCell ref="B50:C50"/>
    <mergeCell ref="F50:G50"/>
    <mergeCell ref="H50:N50"/>
    <mergeCell ref="B51:C51"/>
    <mergeCell ref="F51:G51"/>
    <mergeCell ref="H51:N51"/>
    <mergeCell ref="B48:C48"/>
    <mergeCell ref="F48:G48"/>
    <mergeCell ref="H48:N48"/>
    <mergeCell ref="B49:C49"/>
    <mergeCell ref="F49:G49"/>
    <mergeCell ref="H49:N49"/>
    <mergeCell ref="B46:C46"/>
    <mergeCell ref="F46:G46"/>
    <mergeCell ref="H46:N46"/>
    <mergeCell ref="B47:C47"/>
    <mergeCell ref="F47:G47"/>
    <mergeCell ref="H47:N47"/>
    <mergeCell ref="B44:C44"/>
    <mergeCell ref="F44:G44"/>
    <mergeCell ref="H44:N44"/>
    <mergeCell ref="B45:C45"/>
    <mergeCell ref="F45:G45"/>
    <mergeCell ref="H45:N45"/>
    <mergeCell ref="B42:C42"/>
    <mergeCell ref="F42:G42"/>
    <mergeCell ref="H42:N42"/>
    <mergeCell ref="B43:C43"/>
    <mergeCell ref="F43:G43"/>
    <mergeCell ref="H43:N43"/>
    <mergeCell ref="B40:C40"/>
    <mergeCell ref="F40:G40"/>
    <mergeCell ref="H40:N40"/>
    <mergeCell ref="B41:C41"/>
    <mergeCell ref="F41:G41"/>
    <mergeCell ref="H41:N41"/>
    <mergeCell ref="B38:C38"/>
    <mergeCell ref="F38:G38"/>
    <mergeCell ref="H38:N38"/>
    <mergeCell ref="B39:C39"/>
    <mergeCell ref="F39:G39"/>
    <mergeCell ref="H39:N39"/>
    <mergeCell ref="B36:C36"/>
    <mergeCell ref="F36:G36"/>
    <mergeCell ref="H36:N36"/>
    <mergeCell ref="B37:C37"/>
    <mergeCell ref="F37:G37"/>
    <mergeCell ref="H37:N37"/>
    <mergeCell ref="B34:C34"/>
    <mergeCell ref="F34:G34"/>
    <mergeCell ref="H34:N34"/>
    <mergeCell ref="B35:C35"/>
    <mergeCell ref="F35:G35"/>
    <mergeCell ref="H35:N35"/>
    <mergeCell ref="B32:C32"/>
    <mergeCell ref="F32:G32"/>
    <mergeCell ref="H32:N32"/>
    <mergeCell ref="B33:C33"/>
    <mergeCell ref="F33:G33"/>
    <mergeCell ref="H33:N33"/>
    <mergeCell ref="B30:C30"/>
    <mergeCell ref="F30:G30"/>
    <mergeCell ref="H30:N30"/>
    <mergeCell ref="B31:C31"/>
    <mergeCell ref="F31:G31"/>
    <mergeCell ref="H31:N31"/>
    <mergeCell ref="B27:G27"/>
    <mergeCell ref="H27:O27"/>
    <mergeCell ref="B28:C28"/>
    <mergeCell ref="F28:G28"/>
    <mergeCell ref="H28:N28"/>
    <mergeCell ref="B29:C29"/>
    <mergeCell ref="F29:G29"/>
    <mergeCell ref="H29:N29"/>
    <mergeCell ref="Q16:S16"/>
    <mergeCell ref="B17:O17"/>
    <mergeCell ref="H18:O18"/>
    <mergeCell ref="B26:O26"/>
    <mergeCell ref="B15:E15"/>
    <mergeCell ref="F15:I15"/>
    <mergeCell ref="K15:N15"/>
    <mergeCell ref="B16:E16"/>
    <mergeCell ref="F16:I16"/>
    <mergeCell ref="K16:N16"/>
    <mergeCell ref="J7:K7"/>
    <mergeCell ref="L7:M7"/>
    <mergeCell ref="N7:O7"/>
    <mergeCell ref="B13:E13"/>
    <mergeCell ref="F13:I13"/>
    <mergeCell ref="K13:N13"/>
    <mergeCell ref="B14:E14"/>
    <mergeCell ref="F14:I14"/>
    <mergeCell ref="K14:N14"/>
    <mergeCell ref="B11:E11"/>
    <mergeCell ref="F11:I11"/>
    <mergeCell ref="K11:N11"/>
    <mergeCell ref="B12:E12"/>
    <mergeCell ref="F12:I12"/>
    <mergeCell ref="K12:N12"/>
    <mergeCell ref="A1:A68"/>
    <mergeCell ref="B1:O1"/>
    <mergeCell ref="P1:P68"/>
    <mergeCell ref="B2:B4"/>
    <mergeCell ref="C2:O2"/>
    <mergeCell ref="C3:O3"/>
    <mergeCell ref="C4:O4"/>
    <mergeCell ref="B5:O5"/>
    <mergeCell ref="D6:E6"/>
    <mergeCell ref="F6:G6"/>
    <mergeCell ref="B8:O8"/>
    <mergeCell ref="B9:E9"/>
    <mergeCell ref="F9:I9"/>
    <mergeCell ref="K9:N9"/>
    <mergeCell ref="B10:E10"/>
    <mergeCell ref="F10:I10"/>
    <mergeCell ref="K10:N10"/>
    <mergeCell ref="H6:I6"/>
    <mergeCell ref="J6:K6"/>
    <mergeCell ref="L6:M6"/>
    <mergeCell ref="N6:O6"/>
    <mergeCell ref="D7:E7"/>
    <mergeCell ref="F7:G7"/>
    <mergeCell ref="H7:I7"/>
  </mergeCells>
  <pageMargins left="0.5" right="0.45" top="0.5" bottom="0.25" header="0.3" footer="0.3"/>
  <pageSetup paperSize="9" scale="59" orientation="portrait" verticalDpi="0" r:id="rId1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8"/>
  <sheetViews>
    <sheetView topLeftCell="A31" zoomScaleNormal="100" workbookViewId="0">
      <selection activeCell="T46" sqref="T46"/>
    </sheetView>
  </sheetViews>
  <sheetFormatPr defaultRowHeight="15" x14ac:dyDescent="0.25"/>
  <cols>
    <col min="1" max="1" width="1.7109375" customWidth="1"/>
    <col min="2" max="2" width="18" customWidth="1"/>
    <col min="3" max="3" width="13.710937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19" width="11.85546875" customWidth="1"/>
    <col min="20" max="20" width="8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ROUND(O49,0)</f>
        <v>140506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111">
        <v>1700474</v>
      </c>
      <c r="D7" s="180" t="s">
        <v>10</v>
      </c>
      <c r="E7" s="180"/>
      <c r="F7" s="180" t="s">
        <v>138</v>
      </c>
      <c r="G7" s="180"/>
      <c r="H7" s="180" t="s">
        <v>144</v>
      </c>
      <c r="I7" s="180"/>
      <c r="J7" s="181">
        <v>45717</v>
      </c>
      <c r="K7" s="181"/>
      <c r="L7" s="181">
        <v>45731</v>
      </c>
      <c r="M7" s="181"/>
      <c r="N7" s="181">
        <v>45745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x14ac:dyDescent="0.25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281.39999999999998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112" t="s">
        <v>18</v>
      </c>
      <c r="K11" s="185" t="s">
        <v>19</v>
      </c>
      <c r="L11" s="186"/>
      <c r="M11" s="186"/>
      <c r="N11" s="187"/>
      <c r="O11" s="57"/>
      <c r="P11" s="276"/>
      <c r="Q11" s="101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112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276"/>
      <c r="Q12" s="102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276"/>
      <c r="Q13" s="103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276"/>
      <c r="Q14" s="10" t="s">
        <v>31</v>
      </c>
      <c r="R14" s="86">
        <v>90700</v>
      </c>
      <c r="S14" s="86"/>
      <c r="T14" s="86">
        <f>+R14+S14</f>
        <v>90700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276"/>
      <c r="Q15" s="100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90700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14495.6</v>
      </c>
      <c r="D19" s="15">
        <v>0.14069999999999999</v>
      </c>
      <c r="E19" s="16">
        <v>148.155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13688</v>
      </c>
      <c r="D20" s="15">
        <v>0.13619999999999999</v>
      </c>
      <c r="E20" s="16">
        <v>102.313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807.60000000000036</v>
      </c>
      <c r="D21" s="24">
        <f>+D19</f>
        <v>0.14069999999999999</v>
      </c>
      <c r="E21" s="112">
        <f>+E19-E20</f>
        <v>45.841999999999999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807.60000000000036</v>
      </c>
      <c r="D23" s="33">
        <f>+D21*D22</f>
        <v>281.39999999999998</v>
      </c>
      <c r="E23" s="33">
        <f>+E22*E21</f>
        <v>91684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9.5" customHeight="1" x14ac:dyDescent="0.25">
      <c r="A24" s="156"/>
      <c r="B24" s="90" t="s">
        <v>61</v>
      </c>
      <c r="C24" s="71"/>
      <c r="D24" s="33">
        <v>0</v>
      </c>
      <c r="E24" s="50">
        <f>+O12+J12+J13+O13+J16</f>
        <v>90700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807.60000000000036</v>
      </c>
      <c r="D25" s="76">
        <f>+D23</f>
        <v>281.39999999999998</v>
      </c>
      <c r="E25" s="77">
        <f>E23-E24</f>
        <v>984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/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(F33+F34+O22+O23+F35+F36+O20)*9/100</f>
        <v>691.01640000000009</v>
      </c>
      <c r="P28" s="160"/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340</v>
      </c>
      <c r="F29" s="213">
        <f>+D29*E29</f>
        <v>110160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/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18140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+T38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7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0" ht="18.75" customHeight="1" x14ac:dyDescent="0.25">
      <c r="A33" s="156"/>
      <c r="B33" s="211" t="s">
        <v>77</v>
      </c>
      <c r="C33" s="212"/>
      <c r="D33" s="109">
        <f>E25-C25</f>
        <v>176.39999999999964</v>
      </c>
      <c r="E33" s="34">
        <v>6.9</v>
      </c>
      <c r="F33" s="229">
        <f t="shared" si="2"/>
        <v>1217.1599999999976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0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30"/>
      <c r="S34" s="23"/>
      <c r="T34" s="30"/>
    </row>
    <row r="35" spans="1:20" ht="18.75" customHeight="1" x14ac:dyDescent="0.25">
      <c r="A35" s="156"/>
      <c r="B35" s="211" t="s">
        <v>129</v>
      </c>
      <c r="C35" s="212"/>
      <c r="D35" s="34">
        <f>+C25</f>
        <v>807.60000000000036</v>
      </c>
      <c r="E35" s="34">
        <v>8</v>
      </c>
      <c r="F35" s="229">
        <f t="shared" si="2"/>
        <v>6460.8000000000029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30"/>
      <c r="S35" s="23"/>
      <c r="T35" s="30"/>
    </row>
    <row r="36" spans="1:20" ht="18.75" customHeight="1" x14ac:dyDescent="0.25">
      <c r="A36" s="156"/>
      <c r="B36" s="211" t="s">
        <v>130</v>
      </c>
      <c r="C36" s="212"/>
      <c r="D36" s="37"/>
      <c r="E36" s="34"/>
      <c r="F36" s="229">
        <f t="shared" si="2"/>
        <v>0</v>
      </c>
      <c r="G36" s="230"/>
      <c r="H36" s="242" t="s">
        <v>81</v>
      </c>
      <c r="I36" s="243"/>
      <c r="J36" s="243"/>
      <c r="K36" s="243"/>
      <c r="L36" s="243"/>
      <c r="M36" s="243"/>
      <c r="N36" s="244"/>
      <c r="O36" s="69">
        <f>+O28+O29+O30+O31+O32+O33+O34</f>
        <v>18831.0164</v>
      </c>
      <c r="P36" s="160"/>
      <c r="R36" s="30"/>
      <c r="S36" s="30"/>
      <c r="T36" s="36"/>
    </row>
    <row r="37" spans="1:20" ht="18.75" customHeight="1" thickBot="1" x14ac:dyDescent="0.3">
      <c r="A37" s="156"/>
      <c r="B37" s="211" t="s">
        <v>82</v>
      </c>
      <c r="C37" s="212"/>
      <c r="D37" s="50">
        <f>+E25</f>
        <v>984</v>
      </c>
      <c r="E37" s="34">
        <v>0.22</v>
      </c>
      <c r="F37" s="229">
        <f t="shared" si="2"/>
        <v>216.48</v>
      </c>
      <c r="G37" s="230"/>
      <c r="H37" s="215" t="s">
        <v>83</v>
      </c>
      <c r="I37" s="216"/>
      <c r="J37" s="216"/>
      <c r="K37" s="216"/>
      <c r="L37" s="216"/>
      <c r="M37" s="216"/>
      <c r="N37" s="217"/>
      <c r="O37" s="75">
        <v>0</v>
      </c>
      <c r="P37" s="160"/>
      <c r="R37" s="110"/>
      <c r="S37" s="30"/>
      <c r="T37" s="36"/>
    </row>
    <row r="38" spans="1:20" s="39" customFormat="1" ht="18.75" customHeight="1" thickBot="1" x14ac:dyDescent="0.3">
      <c r="A38" s="156"/>
      <c r="B38" s="234" t="s">
        <v>131</v>
      </c>
      <c r="C38" s="235"/>
      <c r="D38" s="83"/>
      <c r="E38" s="38"/>
      <c r="F38" s="229">
        <v>0</v>
      </c>
      <c r="G38" s="230"/>
      <c r="H38" s="236" t="s">
        <v>132</v>
      </c>
      <c r="I38" s="237"/>
      <c r="J38" s="237"/>
      <c r="K38" s="237"/>
      <c r="L38" s="237"/>
      <c r="M38" s="237"/>
      <c r="N38" s="238"/>
      <c r="O38" s="69">
        <v>0</v>
      </c>
      <c r="P38" s="160"/>
      <c r="Q38" s="2"/>
      <c r="R38" s="2"/>
      <c r="S38" s="7"/>
      <c r="T38" s="82"/>
    </row>
    <row r="39" spans="1:20" ht="18.75" customHeight="1" x14ac:dyDescent="0.25">
      <c r="A39" s="156"/>
      <c r="B39" s="211" t="s">
        <v>85</v>
      </c>
      <c r="C39" s="212"/>
      <c r="D39" s="35"/>
      <c r="E39" s="25"/>
      <c r="F39" s="229">
        <f>+O25</f>
        <v>0</v>
      </c>
      <c r="G39" s="230"/>
      <c r="H39" s="226" t="s">
        <v>86</v>
      </c>
      <c r="I39" s="227"/>
      <c r="J39" s="227"/>
      <c r="K39" s="227"/>
      <c r="L39" s="227"/>
      <c r="M39" s="227"/>
      <c r="N39" s="228"/>
      <c r="O39" s="69">
        <f>+O37+O38</f>
        <v>0</v>
      </c>
      <c r="P39" s="160"/>
      <c r="Q39" s="81"/>
      <c r="R39" s="39"/>
      <c r="S39" s="39"/>
      <c r="T39" s="39"/>
    </row>
    <row r="40" spans="1:20" ht="28.5" customHeight="1" x14ac:dyDescent="0.25">
      <c r="A40" s="156"/>
      <c r="B40" s="211" t="s">
        <v>87</v>
      </c>
      <c r="C40" s="212"/>
      <c r="D40" s="25"/>
      <c r="E40" s="25"/>
      <c r="F40" s="213">
        <v>0</v>
      </c>
      <c r="G40" s="214"/>
      <c r="H40" s="226" t="s">
        <v>88</v>
      </c>
      <c r="I40" s="227"/>
      <c r="J40" s="227"/>
      <c r="K40" s="227"/>
      <c r="L40" s="227"/>
      <c r="M40" s="227"/>
      <c r="N40" s="228"/>
      <c r="O40" s="69">
        <f>+F29+F30+F31+F32+F33+F34+F35+F36+F37+F38+F39+F40+F41+F42+F43+F44+F45+F46+F47+F48+F49+F50+O36+O39+F51</f>
        <v>165909.4564</v>
      </c>
      <c r="P40" s="160"/>
      <c r="R40" s="2"/>
    </row>
    <row r="41" spans="1:20" ht="18.75" customHeight="1" x14ac:dyDescent="0.25">
      <c r="A41" s="156"/>
      <c r="B41" s="218" t="s">
        <v>89</v>
      </c>
      <c r="C41" s="219"/>
      <c r="D41" s="25"/>
      <c r="E41" s="25"/>
      <c r="F41" s="213">
        <v>0</v>
      </c>
      <c r="G41" s="214"/>
      <c r="H41" s="226" t="s">
        <v>90</v>
      </c>
      <c r="I41" s="227"/>
      <c r="J41" s="227"/>
      <c r="K41" s="227"/>
      <c r="L41" s="227"/>
      <c r="M41" s="227"/>
      <c r="N41" s="228"/>
      <c r="O41" s="75" t="s">
        <v>68</v>
      </c>
      <c r="P41" s="160"/>
    </row>
    <row r="42" spans="1:20" ht="18.75" customHeight="1" x14ac:dyDescent="0.25">
      <c r="A42" s="156"/>
      <c r="B42" s="211" t="s">
        <v>91</v>
      </c>
      <c r="C42" s="212"/>
      <c r="D42" s="25"/>
      <c r="E42" s="25"/>
      <c r="F42" s="213">
        <v>0</v>
      </c>
      <c r="G42" s="214"/>
      <c r="H42" s="224"/>
      <c r="I42" s="245"/>
      <c r="J42" s="245"/>
      <c r="K42" s="245"/>
      <c r="L42" s="245"/>
      <c r="M42" s="245"/>
      <c r="N42" s="225"/>
      <c r="O42" s="75"/>
      <c r="P42" s="160"/>
    </row>
    <row r="43" spans="1:20" ht="18.75" customHeight="1" x14ac:dyDescent="0.25">
      <c r="A43" s="156"/>
      <c r="B43" s="218" t="s">
        <v>133</v>
      </c>
      <c r="C43" s="219"/>
      <c r="D43" s="25"/>
      <c r="E43" s="25"/>
      <c r="F43" s="213">
        <v>0</v>
      </c>
      <c r="G43" s="214"/>
      <c r="H43" s="215" t="s">
        <v>92</v>
      </c>
      <c r="I43" s="216"/>
      <c r="J43" s="216"/>
      <c r="K43" s="216"/>
      <c r="L43" s="216"/>
      <c r="M43" s="216"/>
      <c r="N43" s="217"/>
      <c r="O43" s="69">
        <v>-25403</v>
      </c>
      <c r="P43" s="160"/>
    </row>
    <row r="44" spans="1:20" ht="21" customHeight="1" x14ac:dyDescent="0.25">
      <c r="A44" s="156"/>
      <c r="B44" s="218" t="s">
        <v>134</v>
      </c>
      <c r="C44" s="219"/>
      <c r="D44" s="33">
        <f>+J13</f>
        <v>0</v>
      </c>
      <c r="E44" s="33">
        <v>1.92</v>
      </c>
      <c r="F44" s="213">
        <f>+D44*E44</f>
        <v>0</v>
      </c>
      <c r="G44" s="214"/>
      <c r="H44" s="215" t="s">
        <v>84</v>
      </c>
      <c r="I44" s="216"/>
      <c r="J44" s="216"/>
      <c r="K44" s="216"/>
      <c r="L44" s="216"/>
      <c r="M44" s="216"/>
      <c r="N44" s="217"/>
      <c r="O44" s="69">
        <v>0</v>
      </c>
      <c r="P44" s="160"/>
    </row>
    <row r="45" spans="1:20" ht="29.25" customHeight="1" x14ac:dyDescent="0.25">
      <c r="A45" s="156"/>
      <c r="B45" s="218" t="s">
        <v>135</v>
      </c>
      <c r="C45" s="219"/>
      <c r="D45" s="33">
        <f>+O13</f>
        <v>0</v>
      </c>
      <c r="E45" s="33">
        <v>1.92</v>
      </c>
      <c r="F45" s="246">
        <f>+D45*E45</f>
        <v>0</v>
      </c>
      <c r="G45" s="247"/>
      <c r="H45" s="215" t="s">
        <v>93</v>
      </c>
      <c r="I45" s="216"/>
      <c r="J45" s="216"/>
      <c r="K45" s="216"/>
      <c r="L45" s="216"/>
      <c r="M45" s="216"/>
      <c r="N45" s="217"/>
      <c r="O45" s="69">
        <v>0</v>
      </c>
      <c r="P45" s="160"/>
      <c r="Q45" s="84"/>
      <c r="R45" s="2"/>
    </row>
    <row r="46" spans="1:20" ht="18.75" customHeight="1" x14ac:dyDescent="0.25">
      <c r="A46" s="156"/>
      <c r="B46" s="218" t="s">
        <v>94</v>
      </c>
      <c r="C46" s="219"/>
      <c r="D46" s="33">
        <f>+J13</f>
        <v>0</v>
      </c>
      <c r="E46" s="34">
        <v>1.37</v>
      </c>
      <c r="F46" s="213">
        <f>+D46*E46</f>
        <v>0</v>
      </c>
      <c r="G46" s="214"/>
      <c r="H46" s="215" t="s">
        <v>95</v>
      </c>
      <c r="I46" s="216"/>
      <c r="J46" s="216"/>
      <c r="K46" s="216"/>
      <c r="L46" s="216"/>
      <c r="M46" s="216"/>
      <c r="N46" s="217"/>
      <c r="O46" s="69">
        <v>0</v>
      </c>
      <c r="P46" s="160"/>
      <c r="R46" s="2"/>
      <c r="S46" s="121">
        <v>137150</v>
      </c>
      <c r="T46" s="2">
        <f>O48-S46</f>
        <v>3356.4563999999955</v>
      </c>
    </row>
    <row r="47" spans="1:20" ht="29.25" customHeight="1" x14ac:dyDescent="0.25">
      <c r="A47" s="156"/>
      <c r="B47" s="218" t="s">
        <v>96</v>
      </c>
      <c r="C47" s="219"/>
      <c r="D47" s="33">
        <f>+O12+O13</f>
        <v>0</v>
      </c>
      <c r="E47" s="34">
        <v>0.82</v>
      </c>
      <c r="F47" s="246">
        <f>+D47*E47</f>
        <v>0</v>
      </c>
      <c r="G47" s="247"/>
      <c r="H47" s="226" t="s">
        <v>97</v>
      </c>
      <c r="I47" s="227"/>
      <c r="J47" s="227"/>
      <c r="K47" s="227"/>
      <c r="L47" s="227"/>
      <c r="M47" s="227"/>
      <c r="N47" s="228"/>
      <c r="O47" s="69">
        <f>+O42+O43+O44+O45+O46</f>
        <v>-25403</v>
      </c>
      <c r="P47" s="160"/>
      <c r="R47" s="2"/>
      <c r="S47" s="2"/>
    </row>
    <row r="48" spans="1:20" ht="18.75" customHeight="1" x14ac:dyDescent="0.25">
      <c r="A48" s="156"/>
      <c r="B48" s="218" t="s">
        <v>98</v>
      </c>
      <c r="C48" s="219"/>
      <c r="D48" s="33">
        <f>+O16</f>
        <v>0</v>
      </c>
      <c r="E48" s="34">
        <v>-1.9</v>
      </c>
      <c r="F48" s="246">
        <f>+D48*E48</f>
        <v>0</v>
      </c>
      <c r="G48" s="247"/>
      <c r="H48" s="226" t="s">
        <v>99</v>
      </c>
      <c r="I48" s="227"/>
      <c r="J48" s="227"/>
      <c r="K48" s="227"/>
      <c r="L48" s="227"/>
      <c r="M48" s="227"/>
      <c r="N48" s="228"/>
      <c r="O48" s="85">
        <f>+O40+O47</f>
        <v>140506.4564</v>
      </c>
      <c r="P48" s="160"/>
      <c r="Q48" s="2"/>
      <c r="R48" s="2"/>
      <c r="S48" s="2"/>
    </row>
    <row r="49" spans="1:20" ht="18.75" customHeight="1" x14ac:dyDescent="0.25">
      <c r="A49" s="156"/>
      <c r="B49" s="174" t="s">
        <v>100</v>
      </c>
      <c r="C49" s="175"/>
      <c r="D49" s="40"/>
      <c r="E49" s="112">
        <v>0</v>
      </c>
      <c r="F49" s="213">
        <v>0</v>
      </c>
      <c r="G49" s="214"/>
      <c r="H49" s="226" t="s">
        <v>101</v>
      </c>
      <c r="I49" s="227"/>
      <c r="J49" s="227"/>
      <c r="K49" s="227"/>
      <c r="L49" s="227"/>
      <c r="M49" s="227"/>
      <c r="N49" s="228"/>
      <c r="O49" s="85">
        <f>+O48</f>
        <v>140506.4564</v>
      </c>
      <c r="P49" s="160"/>
      <c r="Q49" s="2"/>
      <c r="R49" s="2"/>
      <c r="S49" s="2"/>
      <c r="T49" s="2"/>
    </row>
    <row r="50" spans="1:20" ht="27.75" customHeight="1" x14ac:dyDescent="0.25">
      <c r="A50" s="156"/>
      <c r="B50" s="183" t="s">
        <v>136</v>
      </c>
      <c r="C50" s="184"/>
      <c r="D50" s="11"/>
      <c r="E50" s="11"/>
      <c r="F50" s="248">
        <v>0</v>
      </c>
      <c r="G50" s="248"/>
      <c r="H50" s="249"/>
      <c r="I50" s="249"/>
      <c r="J50" s="249"/>
      <c r="K50" s="249"/>
      <c r="L50" s="249"/>
      <c r="M50" s="249"/>
      <c r="N50" s="249"/>
      <c r="O50" s="92"/>
      <c r="P50" s="160"/>
      <c r="R50" s="2"/>
      <c r="S50" s="2"/>
      <c r="T50" s="2"/>
    </row>
    <row r="51" spans="1:20" ht="18.75" customHeight="1" x14ac:dyDescent="0.25">
      <c r="A51" s="156"/>
      <c r="B51" s="174" t="s">
        <v>102</v>
      </c>
      <c r="C51" s="175"/>
      <c r="D51" s="42">
        <f>+J16</f>
        <v>90700</v>
      </c>
      <c r="E51" s="42">
        <v>0.32</v>
      </c>
      <c r="F51" s="177">
        <f>+D51*E51</f>
        <v>29024</v>
      </c>
      <c r="G51" s="178"/>
      <c r="H51" s="176"/>
      <c r="I51" s="176"/>
      <c r="J51" s="176"/>
      <c r="K51" s="176"/>
      <c r="L51" s="176"/>
      <c r="M51" s="176"/>
      <c r="N51" s="176"/>
      <c r="O51" s="92"/>
      <c r="P51" s="160"/>
      <c r="R51" s="2"/>
      <c r="S51" s="2"/>
      <c r="T51" s="2"/>
    </row>
    <row r="52" spans="1:20" ht="18.75" customHeight="1" x14ac:dyDescent="0.25">
      <c r="A52" s="156"/>
      <c r="B52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One Hundred Forty Thousand Five Hundred Six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8"/>
      <c r="P52" s="160"/>
      <c r="Q52" s="2"/>
      <c r="R52" s="2"/>
      <c r="S52" s="2"/>
    </row>
    <row r="53" spans="1:20" ht="18.75" customHeight="1" x14ac:dyDescent="0.25">
      <c r="A53" s="156"/>
      <c r="B53" s="174" t="s">
        <v>103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69"/>
      <c r="P53" s="160"/>
      <c r="Q53" s="2"/>
      <c r="R53" s="2"/>
    </row>
    <row r="54" spans="1:20" ht="18.75" customHeight="1" x14ac:dyDescent="0.25">
      <c r="A54" s="156"/>
      <c r="B54" s="174" t="s">
        <v>104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69"/>
      <c r="P54" s="160"/>
    </row>
    <row r="55" spans="1:20" ht="18.75" customHeight="1" thickBot="1" x14ac:dyDescent="0.3">
      <c r="A55" s="156"/>
      <c r="B55" s="258" t="s">
        <v>105</v>
      </c>
      <c r="C55" s="259"/>
      <c r="D55" s="270"/>
      <c r="E55" s="13" t="s">
        <v>106</v>
      </c>
      <c r="F55" s="13">
        <v>0</v>
      </c>
      <c r="G55" s="13"/>
      <c r="H55" s="271" t="s">
        <v>107</v>
      </c>
      <c r="I55" s="270"/>
      <c r="J55" s="13">
        <v>0</v>
      </c>
      <c r="K55" s="44"/>
      <c r="L55" s="44"/>
      <c r="M55" s="44"/>
      <c r="N55" s="272"/>
      <c r="O55" s="273"/>
      <c r="P55" s="160"/>
    </row>
    <row r="56" spans="1:20" ht="18.75" customHeight="1" thickBot="1" x14ac:dyDescent="0.3">
      <c r="A56" s="156"/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160"/>
    </row>
    <row r="57" spans="1:20" ht="21" customHeight="1" x14ac:dyDescent="0.25">
      <c r="A57" s="156"/>
      <c r="B57" s="252" t="s">
        <v>108</v>
      </c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4"/>
      <c r="P57" s="160"/>
      <c r="Q57" s="2"/>
      <c r="R57" s="2"/>
    </row>
    <row r="58" spans="1:20" ht="25.5" customHeight="1" x14ac:dyDescent="0.25">
      <c r="A58" s="156"/>
      <c r="B58" s="255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7"/>
      <c r="P58" s="160"/>
      <c r="Q58" s="2"/>
    </row>
    <row r="59" spans="1:20" ht="18" customHeight="1" thickBot="1" x14ac:dyDescent="0.3">
      <c r="A59" s="156"/>
      <c r="B59" s="258" t="s">
        <v>109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60"/>
      <c r="P59" s="160"/>
      <c r="Q59" s="2"/>
    </row>
    <row r="60" spans="1:20" x14ac:dyDescent="0.25">
      <c r="A60" s="156"/>
      <c r="B60" s="26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160"/>
    </row>
    <row r="61" spans="1:20" ht="18" customHeight="1" x14ac:dyDescent="0.25">
      <c r="A61" s="156"/>
      <c r="B61" s="263"/>
      <c r="C61" s="264"/>
      <c r="D61" s="265" t="s">
        <v>110</v>
      </c>
      <c r="E61" s="265"/>
      <c r="F61" s="265"/>
      <c r="G61" s="265"/>
      <c r="H61" s="265"/>
      <c r="I61" s="45"/>
      <c r="J61" s="45"/>
      <c r="K61" s="114"/>
      <c r="L61" s="114"/>
      <c r="M61" s="114"/>
      <c r="N61" s="114"/>
      <c r="O61" s="114"/>
      <c r="P61" s="160"/>
    </row>
    <row r="62" spans="1:20" ht="18" customHeight="1" x14ac:dyDescent="0.25">
      <c r="A62" s="156"/>
      <c r="B62" s="113"/>
      <c r="C62" s="114"/>
      <c r="D62" s="274" t="s">
        <v>111</v>
      </c>
      <c r="E62" s="274"/>
      <c r="F62" s="274" t="s">
        <v>112</v>
      </c>
      <c r="G62" s="274"/>
      <c r="H62" s="274"/>
      <c r="I62" s="114"/>
      <c r="J62" s="114"/>
      <c r="K62" s="114"/>
      <c r="L62" s="114"/>
      <c r="M62" s="114"/>
      <c r="N62" s="114"/>
      <c r="O62" s="114"/>
      <c r="P62" s="160"/>
    </row>
    <row r="63" spans="1:20" ht="18" customHeight="1" x14ac:dyDescent="0.25">
      <c r="A63" s="156"/>
      <c r="B63" s="113"/>
      <c r="C63" s="114"/>
      <c r="D63" s="274" t="s">
        <v>113</v>
      </c>
      <c r="E63" s="274"/>
      <c r="F63" s="274" t="s">
        <v>137</v>
      </c>
      <c r="G63" s="274"/>
      <c r="H63" s="274"/>
      <c r="I63" s="114"/>
      <c r="J63" s="114"/>
      <c r="K63" s="114"/>
      <c r="L63" s="114"/>
      <c r="M63" s="114"/>
      <c r="N63" s="114"/>
      <c r="O63" s="114"/>
      <c r="P63" s="160"/>
    </row>
    <row r="64" spans="1:20" ht="18" customHeight="1" x14ac:dyDescent="0.25">
      <c r="A64" s="156"/>
      <c r="B64" s="113"/>
      <c r="C64" s="114"/>
      <c r="D64" s="274" t="s">
        <v>114</v>
      </c>
      <c r="E64" s="274"/>
      <c r="F64" s="274" t="s">
        <v>115</v>
      </c>
      <c r="G64" s="274"/>
      <c r="H64" s="274"/>
      <c r="I64" s="45"/>
      <c r="J64" s="114"/>
      <c r="K64" s="114"/>
      <c r="L64" s="114"/>
      <c r="M64" s="114"/>
      <c r="N64" s="114"/>
      <c r="O64" s="114"/>
      <c r="P64" s="160"/>
    </row>
    <row r="65" spans="1:16" ht="18" customHeight="1" x14ac:dyDescent="0.25">
      <c r="A65" s="156"/>
      <c r="B65" s="113"/>
      <c r="C65" s="114"/>
      <c r="D65" s="274" t="s">
        <v>116</v>
      </c>
      <c r="E65" s="274"/>
      <c r="F65" s="274" t="s">
        <v>117</v>
      </c>
      <c r="G65" s="274"/>
      <c r="H65" s="274"/>
      <c r="I65" s="45"/>
      <c r="J65" s="114"/>
      <c r="K65" s="114"/>
      <c r="L65" s="114"/>
      <c r="M65" s="114"/>
      <c r="N65" s="114"/>
      <c r="O65" s="114"/>
      <c r="P65" s="160"/>
    </row>
    <row r="66" spans="1:16" x14ac:dyDescent="0.25">
      <c r="A66" s="156"/>
      <c r="B66" s="113"/>
      <c r="C66" s="114"/>
      <c r="D66" s="274" t="s">
        <v>118</v>
      </c>
      <c r="E66" s="274"/>
      <c r="F66" s="274" t="s">
        <v>119</v>
      </c>
      <c r="G66" s="274"/>
      <c r="H66" s="274"/>
      <c r="I66" s="45"/>
      <c r="J66" s="114"/>
      <c r="K66" s="114"/>
      <c r="L66" s="114"/>
      <c r="M66" s="114"/>
      <c r="N66" s="114"/>
      <c r="O66" s="114"/>
      <c r="P66" s="160"/>
    </row>
    <row r="67" spans="1:16" x14ac:dyDescent="0.25">
      <c r="A67" s="156"/>
      <c r="B67" s="113"/>
      <c r="C67" s="114"/>
      <c r="D67" s="274" t="s">
        <v>120</v>
      </c>
      <c r="E67" s="274"/>
      <c r="F67" s="275">
        <f>+O49</f>
        <v>140506.4564</v>
      </c>
      <c r="G67" s="275"/>
      <c r="H67" s="275"/>
      <c r="I67" s="45"/>
      <c r="J67" s="114"/>
      <c r="K67" s="114"/>
      <c r="L67" s="114"/>
      <c r="M67" s="114"/>
      <c r="N67" s="114"/>
      <c r="O67" s="114"/>
      <c r="P67" s="160"/>
    </row>
    <row r="68" spans="1:16" ht="15.75" thickBot="1" x14ac:dyDescent="0.3">
      <c r="A68" s="15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161"/>
    </row>
  </sheetData>
  <mergeCells count="148">
    <mergeCell ref="A1:A68"/>
    <mergeCell ref="B1:O1"/>
    <mergeCell ref="P1:P68"/>
    <mergeCell ref="B2:B4"/>
    <mergeCell ref="C2:O2"/>
    <mergeCell ref="C3:O3"/>
    <mergeCell ref="C4:O4"/>
    <mergeCell ref="B5:O5"/>
    <mergeCell ref="D6:E6"/>
    <mergeCell ref="F6:G6"/>
    <mergeCell ref="B8:O8"/>
    <mergeCell ref="B9:E9"/>
    <mergeCell ref="F9:I9"/>
    <mergeCell ref="K9:N9"/>
    <mergeCell ref="B10:E10"/>
    <mergeCell ref="F10:I10"/>
    <mergeCell ref="K10:N10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B13:E13"/>
    <mergeCell ref="F13:I13"/>
    <mergeCell ref="K13:N13"/>
    <mergeCell ref="B14:E14"/>
    <mergeCell ref="F14:I14"/>
    <mergeCell ref="K14:N14"/>
    <mergeCell ref="B11:E11"/>
    <mergeCell ref="F11:I11"/>
    <mergeCell ref="K11:N11"/>
    <mergeCell ref="B12:E12"/>
    <mergeCell ref="F12:I12"/>
    <mergeCell ref="K12:N12"/>
    <mergeCell ref="Q16:S16"/>
    <mergeCell ref="B17:O17"/>
    <mergeCell ref="H18:O18"/>
    <mergeCell ref="B26:O26"/>
    <mergeCell ref="B27:G27"/>
    <mergeCell ref="H27:O27"/>
    <mergeCell ref="B15:E15"/>
    <mergeCell ref="F15:I15"/>
    <mergeCell ref="K15:N15"/>
    <mergeCell ref="B16:E16"/>
    <mergeCell ref="F16:I16"/>
    <mergeCell ref="K16:N16"/>
    <mergeCell ref="B30:C30"/>
    <mergeCell ref="F30:G30"/>
    <mergeCell ref="H30:N30"/>
    <mergeCell ref="B31:C31"/>
    <mergeCell ref="F31:G31"/>
    <mergeCell ref="H31:N31"/>
    <mergeCell ref="B28:C28"/>
    <mergeCell ref="F28:G28"/>
    <mergeCell ref="H28:N28"/>
    <mergeCell ref="B29:C29"/>
    <mergeCell ref="F29:G29"/>
    <mergeCell ref="H29:N29"/>
    <mergeCell ref="B34:C34"/>
    <mergeCell ref="F34:G34"/>
    <mergeCell ref="H34:N34"/>
    <mergeCell ref="B35:C35"/>
    <mergeCell ref="F35:G35"/>
    <mergeCell ref="H35:N35"/>
    <mergeCell ref="B32:C32"/>
    <mergeCell ref="F32:G32"/>
    <mergeCell ref="H32:N32"/>
    <mergeCell ref="B33:C33"/>
    <mergeCell ref="F33:G33"/>
    <mergeCell ref="H33:N33"/>
    <mergeCell ref="B38:C38"/>
    <mergeCell ref="F38:G38"/>
    <mergeCell ref="H38:N38"/>
    <mergeCell ref="B39:C39"/>
    <mergeCell ref="F39:G39"/>
    <mergeCell ref="H39:N39"/>
    <mergeCell ref="B36:C36"/>
    <mergeCell ref="F36:G36"/>
    <mergeCell ref="H36:N36"/>
    <mergeCell ref="B37:C37"/>
    <mergeCell ref="F37:G37"/>
    <mergeCell ref="H37:N37"/>
    <mergeCell ref="B42:C42"/>
    <mergeCell ref="F42:G42"/>
    <mergeCell ref="H42:N42"/>
    <mergeCell ref="B43:C43"/>
    <mergeCell ref="F43:G43"/>
    <mergeCell ref="H43:N43"/>
    <mergeCell ref="B40:C40"/>
    <mergeCell ref="F40:G40"/>
    <mergeCell ref="H40:N40"/>
    <mergeCell ref="B41:C41"/>
    <mergeCell ref="F41:G41"/>
    <mergeCell ref="H41:N41"/>
    <mergeCell ref="B46:C46"/>
    <mergeCell ref="F46:G46"/>
    <mergeCell ref="H46:N46"/>
    <mergeCell ref="B47:C47"/>
    <mergeCell ref="F47:G47"/>
    <mergeCell ref="H47:N47"/>
    <mergeCell ref="B44:C44"/>
    <mergeCell ref="F44:G44"/>
    <mergeCell ref="H44:N44"/>
    <mergeCell ref="B45:C45"/>
    <mergeCell ref="F45:G45"/>
    <mergeCell ref="H45:N45"/>
    <mergeCell ref="B50:C50"/>
    <mergeCell ref="F50:G50"/>
    <mergeCell ref="H50:N50"/>
    <mergeCell ref="B51:C51"/>
    <mergeCell ref="F51:G51"/>
    <mergeCell ref="H51:N51"/>
    <mergeCell ref="B48:C48"/>
    <mergeCell ref="F48:G48"/>
    <mergeCell ref="H48:N48"/>
    <mergeCell ref="B49:C49"/>
    <mergeCell ref="F49:G49"/>
    <mergeCell ref="H49:N49"/>
    <mergeCell ref="B56:O56"/>
    <mergeCell ref="B57:O57"/>
    <mergeCell ref="B58:O58"/>
    <mergeCell ref="B59:O59"/>
    <mergeCell ref="B60:O60"/>
    <mergeCell ref="B61:C61"/>
    <mergeCell ref="D61:H61"/>
    <mergeCell ref="B52:O52"/>
    <mergeCell ref="B53:O53"/>
    <mergeCell ref="B54:O54"/>
    <mergeCell ref="B55:D55"/>
    <mergeCell ref="H55:I55"/>
    <mergeCell ref="N55:O55"/>
    <mergeCell ref="D65:E65"/>
    <mergeCell ref="F65:H65"/>
    <mergeCell ref="D66:E66"/>
    <mergeCell ref="F66:H66"/>
    <mergeCell ref="D67:E67"/>
    <mergeCell ref="F67:H67"/>
    <mergeCell ref="D62:E62"/>
    <mergeCell ref="F62:H62"/>
    <mergeCell ref="D63:E63"/>
    <mergeCell ref="F63:H63"/>
    <mergeCell ref="D64:E64"/>
    <mergeCell ref="F64:H64"/>
  </mergeCells>
  <pageMargins left="0.5" right="0.45" top="0.5" bottom="0.25" header="0.3" footer="0.3"/>
  <pageSetup paperSize="9" scale="59" orientation="portrait" verticalDpi="0" r:id="rId1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8"/>
  <sheetViews>
    <sheetView topLeftCell="B25" zoomScaleNormal="100" workbookViewId="0">
      <selection activeCell="V52" sqref="V52"/>
    </sheetView>
  </sheetViews>
  <sheetFormatPr defaultRowHeight="15" x14ac:dyDescent="0.25"/>
  <cols>
    <col min="1" max="1" width="1.7109375" customWidth="1"/>
    <col min="2" max="2" width="18" customWidth="1"/>
    <col min="3" max="3" width="13.710937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19" width="11.7109375" customWidth="1"/>
    <col min="20" max="20" width="8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ROUND(O49,0)</f>
        <v>179897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117">
        <v>1700474</v>
      </c>
      <c r="D7" s="180" t="s">
        <v>10</v>
      </c>
      <c r="E7" s="180"/>
      <c r="F7" s="180" t="s">
        <v>138</v>
      </c>
      <c r="G7" s="180"/>
      <c r="H7" s="180" t="s">
        <v>145</v>
      </c>
      <c r="I7" s="180"/>
      <c r="J7" s="181">
        <v>45748</v>
      </c>
      <c r="K7" s="181"/>
      <c r="L7" s="181">
        <v>45762</v>
      </c>
      <c r="M7" s="181"/>
      <c r="N7" s="181">
        <v>45776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x14ac:dyDescent="0.25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276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118" t="s">
        <v>18</v>
      </c>
      <c r="K11" s="185" t="s">
        <v>19</v>
      </c>
      <c r="L11" s="186"/>
      <c r="M11" s="186"/>
      <c r="N11" s="187"/>
      <c r="O11" s="57"/>
      <c r="P11" s="276"/>
      <c r="Q11" s="101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118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276"/>
      <c r="Q12" s="102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276"/>
      <c r="Q13" s="103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276"/>
      <c r="Q14" s="10" t="s">
        <v>31</v>
      </c>
      <c r="R14" s="86">
        <v>106000</v>
      </c>
      <c r="S14" s="86"/>
      <c r="T14" s="86">
        <f>+R14+S14</f>
        <v>106000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276"/>
      <c r="Q15" s="100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106000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15686.9</v>
      </c>
      <c r="D19" s="15">
        <v>0.13800000000000001</v>
      </c>
      <c r="E19" s="16">
        <v>201.773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14495.6</v>
      </c>
      <c r="D20" s="15">
        <v>0.14069999999999999</v>
      </c>
      <c r="E20" s="16">
        <v>148.155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1191.2999999999993</v>
      </c>
      <c r="D21" s="24">
        <f>+D19</f>
        <v>0.13800000000000001</v>
      </c>
      <c r="E21" s="118">
        <f>+E19-E20</f>
        <v>53.617999999999995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1191.2999999999993</v>
      </c>
      <c r="D23" s="33">
        <f>+D21*D22</f>
        <v>276</v>
      </c>
      <c r="E23" s="33">
        <f>+E22*E21</f>
        <v>107235.99999999999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9.5" customHeight="1" x14ac:dyDescent="0.25">
      <c r="A24" s="156"/>
      <c r="B24" s="90" t="s">
        <v>61</v>
      </c>
      <c r="C24" s="71"/>
      <c r="D24" s="33">
        <v>0</v>
      </c>
      <c r="E24" s="50">
        <f>+O12+J12+J13+O13+J16</f>
        <v>106000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1191.2999999999993</v>
      </c>
      <c r="D25" s="76">
        <f>+D23</f>
        <v>276</v>
      </c>
      <c r="E25" s="77">
        <f>E23-E24</f>
        <v>1235.9999999999854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/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(F33+F34+O22+O23+F35+F36+O20)*9/100</f>
        <v>885.49469999999087</v>
      </c>
      <c r="P28" s="160"/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340</v>
      </c>
      <c r="F29" s="213">
        <f>+D29*E29</f>
        <v>110160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/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21200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+T38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7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1" ht="18.75" customHeight="1" x14ac:dyDescent="0.25">
      <c r="A33" s="156"/>
      <c r="B33" s="211" t="s">
        <v>77</v>
      </c>
      <c r="C33" s="212"/>
      <c r="D33" s="109">
        <f>E25-C25</f>
        <v>44.699999999986176</v>
      </c>
      <c r="E33" s="34">
        <v>6.9</v>
      </c>
      <c r="F33" s="229">
        <f t="shared" si="2"/>
        <v>308.42999999990462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1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30"/>
      <c r="S34" s="23"/>
      <c r="T34" s="30"/>
    </row>
    <row r="35" spans="1:21" ht="18.75" customHeight="1" x14ac:dyDescent="0.25">
      <c r="A35" s="156"/>
      <c r="B35" s="211" t="s">
        <v>129</v>
      </c>
      <c r="C35" s="212"/>
      <c r="D35" s="34">
        <f>+C25</f>
        <v>1191.2999999999993</v>
      </c>
      <c r="E35" s="34">
        <v>8</v>
      </c>
      <c r="F35" s="229">
        <f t="shared" si="2"/>
        <v>9530.3999999999942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30"/>
      <c r="S35" s="23"/>
      <c r="T35" s="30"/>
    </row>
    <row r="36" spans="1:21" ht="18.75" customHeight="1" x14ac:dyDescent="0.25">
      <c r="A36" s="156"/>
      <c r="B36" s="211" t="s">
        <v>130</v>
      </c>
      <c r="C36" s="212"/>
      <c r="D36" s="37"/>
      <c r="E36" s="34"/>
      <c r="F36" s="229">
        <f t="shared" si="2"/>
        <v>0</v>
      </c>
      <c r="G36" s="230"/>
      <c r="H36" s="242" t="s">
        <v>81</v>
      </c>
      <c r="I36" s="243"/>
      <c r="J36" s="243"/>
      <c r="K36" s="243"/>
      <c r="L36" s="243"/>
      <c r="M36" s="243"/>
      <c r="N36" s="244"/>
      <c r="O36" s="69">
        <f>+O28+O29+O30+O31+O32+O33+O34</f>
        <v>22085.494699999992</v>
      </c>
      <c r="P36" s="160"/>
      <c r="R36" s="30"/>
      <c r="S36" s="30"/>
      <c r="T36" s="36"/>
    </row>
    <row r="37" spans="1:21" ht="18.75" customHeight="1" thickBot="1" x14ac:dyDescent="0.3">
      <c r="A37" s="156"/>
      <c r="B37" s="211" t="s">
        <v>82</v>
      </c>
      <c r="C37" s="212"/>
      <c r="D37" s="50">
        <f>+E25</f>
        <v>1235.9999999999854</v>
      </c>
      <c r="E37" s="34">
        <v>0.17</v>
      </c>
      <c r="F37" s="229">
        <f t="shared" si="2"/>
        <v>210.11999999999753</v>
      </c>
      <c r="G37" s="230"/>
      <c r="H37" s="215" t="s">
        <v>83</v>
      </c>
      <c r="I37" s="216"/>
      <c r="J37" s="216"/>
      <c r="K37" s="216"/>
      <c r="L37" s="216"/>
      <c r="M37" s="216"/>
      <c r="N37" s="217"/>
      <c r="O37" s="75">
        <v>0</v>
      </c>
      <c r="P37" s="160"/>
      <c r="R37" s="116"/>
      <c r="S37" s="30"/>
      <c r="T37" s="36"/>
    </row>
    <row r="38" spans="1:21" s="39" customFormat="1" ht="18.75" customHeight="1" thickBot="1" x14ac:dyDescent="0.3">
      <c r="A38" s="156"/>
      <c r="B38" s="234" t="s">
        <v>131</v>
      </c>
      <c r="C38" s="235"/>
      <c r="D38" s="83"/>
      <c r="E38" s="38"/>
      <c r="F38" s="229">
        <v>0</v>
      </c>
      <c r="G38" s="230"/>
      <c r="H38" s="236" t="s">
        <v>132</v>
      </c>
      <c r="I38" s="237"/>
      <c r="J38" s="237"/>
      <c r="K38" s="237"/>
      <c r="L38" s="237"/>
      <c r="M38" s="237"/>
      <c r="N38" s="238"/>
      <c r="O38" s="69">
        <v>0</v>
      </c>
      <c r="P38" s="160"/>
      <c r="Q38" s="2">
        <v>192.9</v>
      </c>
      <c r="R38" s="2">
        <f>+F37-Q38</f>
        <v>17.219999999997526</v>
      </c>
      <c r="S38" s="7"/>
      <c r="T38" s="82"/>
    </row>
    <row r="39" spans="1:21" ht="18.75" customHeight="1" x14ac:dyDescent="0.25">
      <c r="A39" s="156"/>
      <c r="B39" s="211" t="s">
        <v>85</v>
      </c>
      <c r="C39" s="212"/>
      <c r="D39" s="35"/>
      <c r="E39" s="25"/>
      <c r="F39" s="229">
        <f>+O25</f>
        <v>0</v>
      </c>
      <c r="G39" s="230"/>
      <c r="H39" s="226" t="s">
        <v>86</v>
      </c>
      <c r="I39" s="227"/>
      <c r="J39" s="227"/>
      <c r="K39" s="227"/>
      <c r="L39" s="227"/>
      <c r="M39" s="227"/>
      <c r="N39" s="228"/>
      <c r="O39" s="69">
        <f>+O37+O38</f>
        <v>0</v>
      </c>
      <c r="P39" s="160"/>
      <c r="Q39" s="81"/>
      <c r="R39" s="81">
        <f>+F35*0.09</f>
        <v>857.73599999999942</v>
      </c>
      <c r="S39" s="39"/>
      <c r="T39" s="39"/>
    </row>
    <row r="40" spans="1:21" ht="28.5" customHeight="1" x14ac:dyDescent="0.25">
      <c r="A40" s="156"/>
      <c r="B40" s="211" t="s">
        <v>87</v>
      </c>
      <c r="C40" s="212"/>
      <c r="D40" s="25"/>
      <c r="E40" s="25"/>
      <c r="F40" s="213">
        <v>0</v>
      </c>
      <c r="G40" s="214"/>
      <c r="H40" s="226" t="s">
        <v>88</v>
      </c>
      <c r="I40" s="227"/>
      <c r="J40" s="227"/>
      <c r="K40" s="227"/>
      <c r="L40" s="227"/>
      <c r="M40" s="227"/>
      <c r="N40" s="228"/>
      <c r="O40" s="69">
        <f>+F29+F30+F31+F32+F33+F34+F35+F36+F37+F38+F39+F40+F41+F42+F43+F44+F45+F46+F47+F48+F49+F50+F51+O36</f>
        <v>176214.44469999988</v>
      </c>
      <c r="P40" s="160"/>
      <c r="Q40" s="2">
        <f>+F29+F33+F35+F37+O28+O30+O47</f>
        <v>145976.70109999986</v>
      </c>
      <c r="R40" s="2">
        <f>+O40-Q40</f>
        <v>30237.743600000016</v>
      </c>
    </row>
    <row r="41" spans="1:21" ht="18.75" customHeight="1" x14ac:dyDescent="0.25">
      <c r="A41" s="156"/>
      <c r="B41" s="218" t="s">
        <v>89</v>
      </c>
      <c r="C41" s="219"/>
      <c r="D41" s="25"/>
      <c r="E41" s="25"/>
      <c r="F41" s="213">
        <v>0</v>
      </c>
      <c r="G41" s="214"/>
      <c r="H41" s="226" t="s">
        <v>90</v>
      </c>
      <c r="I41" s="227"/>
      <c r="J41" s="227"/>
      <c r="K41" s="227"/>
      <c r="L41" s="227"/>
      <c r="M41" s="227"/>
      <c r="N41" s="228"/>
      <c r="O41" s="75" t="s">
        <v>68</v>
      </c>
      <c r="P41" s="160"/>
    </row>
    <row r="42" spans="1:21" ht="18.75" customHeight="1" x14ac:dyDescent="0.25">
      <c r="A42" s="156"/>
      <c r="B42" s="211" t="s">
        <v>91</v>
      </c>
      <c r="C42" s="212"/>
      <c r="D42" s="25"/>
      <c r="E42" s="25"/>
      <c r="F42" s="213">
        <v>0</v>
      </c>
      <c r="G42" s="214"/>
      <c r="H42" s="224"/>
      <c r="I42" s="245"/>
      <c r="J42" s="245"/>
      <c r="K42" s="245"/>
      <c r="L42" s="245"/>
      <c r="M42" s="245"/>
      <c r="N42" s="225"/>
      <c r="O42" s="75"/>
      <c r="P42" s="160"/>
    </row>
    <row r="43" spans="1:21" ht="18.75" customHeight="1" x14ac:dyDescent="0.25">
      <c r="A43" s="156"/>
      <c r="B43" s="218" t="s">
        <v>133</v>
      </c>
      <c r="C43" s="219"/>
      <c r="D43" s="25"/>
      <c r="E43" s="25"/>
      <c r="F43" s="213">
        <v>0</v>
      </c>
      <c r="G43" s="214"/>
      <c r="H43" s="215" t="s">
        <v>92</v>
      </c>
      <c r="I43" s="216"/>
      <c r="J43" s="216"/>
      <c r="K43" s="216"/>
      <c r="L43" s="216"/>
      <c r="M43" s="216"/>
      <c r="N43" s="217"/>
      <c r="O43" s="2">
        <v>3356.4563999999955</v>
      </c>
      <c r="P43" s="160"/>
    </row>
    <row r="44" spans="1:21" ht="21" customHeight="1" x14ac:dyDescent="0.25">
      <c r="A44" s="156"/>
      <c r="B44" s="218" t="s">
        <v>134</v>
      </c>
      <c r="C44" s="219"/>
      <c r="D44" s="33">
        <f>+J13</f>
        <v>0</v>
      </c>
      <c r="E44" s="33">
        <v>1.92</v>
      </c>
      <c r="F44" s="213">
        <f>+D44*E44</f>
        <v>0</v>
      </c>
      <c r="G44" s="214"/>
      <c r="H44" s="215" t="s">
        <v>84</v>
      </c>
      <c r="I44" s="216"/>
      <c r="J44" s="216"/>
      <c r="K44" s="216"/>
      <c r="L44" s="216"/>
      <c r="M44" s="216"/>
      <c r="N44" s="217"/>
      <c r="O44" s="69">
        <v>-0.49</v>
      </c>
      <c r="P44" s="160"/>
    </row>
    <row r="45" spans="1:21" ht="29.25" customHeight="1" x14ac:dyDescent="0.25">
      <c r="A45" s="156"/>
      <c r="B45" s="218" t="s">
        <v>135</v>
      </c>
      <c r="C45" s="219"/>
      <c r="D45" s="33">
        <f>+O13</f>
        <v>0</v>
      </c>
      <c r="E45" s="33">
        <v>1.92</v>
      </c>
      <c r="F45" s="246">
        <f>+D45*E45</f>
        <v>0</v>
      </c>
      <c r="G45" s="247"/>
      <c r="H45" s="215" t="s">
        <v>93</v>
      </c>
      <c r="I45" s="216"/>
      <c r="J45" s="216"/>
      <c r="K45" s="216"/>
      <c r="L45" s="216"/>
      <c r="M45" s="216"/>
      <c r="N45" s="217"/>
      <c r="O45" s="69">
        <v>326.29000000000002</v>
      </c>
      <c r="P45" s="160"/>
      <c r="Q45" s="84"/>
      <c r="R45" s="2"/>
    </row>
    <row r="46" spans="1:21" ht="18.75" customHeight="1" x14ac:dyDescent="0.25">
      <c r="A46" s="156"/>
      <c r="B46" s="218" t="s">
        <v>94</v>
      </c>
      <c r="C46" s="219"/>
      <c r="D46" s="33">
        <f>+J13</f>
        <v>0</v>
      </c>
      <c r="E46" s="34">
        <v>1.37</v>
      </c>
      <c r="F46" s="213">
        <f>+D46*E46</f>
        <v>0</v>
      </c>
      <c r="G46" s="214"/>
      <c r="H46" s="215" t="s">
        <v>95</v>
      </c>
      <c r="I46" s="216"/>
      <c r="J46" s="216"/>
      <c r="K46" s="216"/>
      <c r="L46" s="216"/>
      <c r="M46" s="216"/>
      <c r="N46" s="217"/>
      <c r="O46" s="69">
        <v>0</v>
      </c>
      <c r="P46" s="160"/>
      <c r="R46" s="2"/>
      <c r="S46" s="121"/>
      <c r="T46" s="2"/>
    </row>
    <row r="47" spans="1:21" ht="29.25" customHeight="1" x14ac:dyDescent="0.25">
      <c r="A47" s="156"/>
      <c r="B47" s="218" t="s">
        <v>96</v>
      </c>
      <c r="C47" s="219"/>
      <c r="D47" s="33">
        <f>+O12+O13</f>
        <v>0</v>
      </c>
      <c r="E47" s="34">
        <v>0.82</v>
      </c>
      <c r="F47" s="246">
        <f>+D47*E47</f>
        <v>0</v>
      </c>
      <c r="G47" s="247"/>
      <c r="H47" s="226" t="s">
        <v>97</v>
      </c>
      <c r="I47" s="227"/>
      <c r="J47" s="227"/>
      <c r="K47" s="227"/>
      <c r="L47" s="227"/>
      <c r="M47" s="227"/>
      <c r="N47" s="228"/>
      <c r="O47" s="69">
        <f>+O42+O43+O44+O45+O46</f>
        <v>3682.2563999999957</v>
      </c>
      <c r="P47" s="160"/>
      <c r="R47" s="2"/>
      <c r="S47" s="2"/>
    </row>
    <row r="48" spans="1:21" ht="18.75" customHeight="1" x14ac:dyDescent="0.25">
      <c r="A48" s="156"/>
      <c r="B48" s="218" t="s">
        <v>98</v>
      </c>
      <c r="C48" s="219"/>
      <c r="D48" s="33">
        <f>+O16</f>
        <v>0</v>
      </c>
      <c r="E48" s="34">
        <v>-1.9</v>
      </c>
      <c r="F48" s="246">
        <f>+D48*E48</f>
        <v>0</v>
      </c>
      <c r="G48" s="247"/>
      <c r="H48" s="226" t="s">
        <v>99</v>
      </c>
      <c r="I48" s="227"/>
      <c r="J48" s="227"/>
      <c r="K48" s="227"/>
      <c r="L48" s="227"/>
      <c r="M48" s="227"/>
      <c r="N48" s="228"/>
      <c r="O48" s="85">
        <f>+O47+O40</f>
        <v>179896.70109999986</v>
      </c>
      <c r="P48" s="160"/>
      <c r="Q48" s="2"/>
      <c r="R48" s="2"/>
      <c r="S48" s="2">
        <f>+F35+R38+R39</f>
        <v>10405.355999999991</v>
      </c>
      <c r="U48" s="2">
        <f>+S48+F51</f>
        <v>44325.355999999992</v>
      </c>
    </row>
    <row r="49" spans="1:23" ht="18.75" customHeight="1" x14ac:dyDescent="0.25">
      <c r="A49" s="156"/>
      <c r="B49" s="174" t="s">
        <v>100</v>
      </c>
      <c r="C49" s="175"/>
      <c r="D49" s="40"/>
      <c r="E49" s="118">
        <v>0</v>
      </c>
      <c r="F49" s="213">
        <v>0</v>
      </c>
      <c r="G49" s="214"/>
      <c r="H49" s="226" t="s">
        <v>101</v>
      </c>
      <c r="I49" s="227"/>
      <c r="J49" s="227"/>
      <c r="K49" s="227"/>
      <c r="L49" s="227"/>
      <c r="M49" s="227"/>
      <c r="N49" s="228"/>
      <c r="O49" s="85">
        <f>+O48</f>
        <v>179896.70109999986</v>
      </c>
      <c r="P49" s="160"/>
      <c r="Q49" s="2">
        <v>143769</v>
      </c>
      <c r="R49" s="2">
        <f>+O49-Q49</f>
        <v>36127.70109999986</v>
      </c>
      <c r="S49" s="2">
        <f>+R49-F51</f>
        <v>2207.7010999998602</v>
      </c>
      <c r="T49" s="2"/>
      <c r="U49" s="2">
        <f>+U48-R39</f>
        <v>43467.619999999995</v>
      </c>
      <c r="W49">
        <f>43653-858</f>
        <v>42795</v>
      </c>
    </row>
    <row r="50" spans="1:23" ht="27.75" customHeight="1" x14ac:dyDescent="0.25">
      <c r="A50" s="156"/>
      <c r="B50" s="183" t="s">
        <v>136</v>
      </c>
      <c r="C50" s="184"/>
      <c r="D50" s="11"/>
      <c r="E50" s="11"/>
      <c r="F50" s="248">
        <v>0</v>
      </c>
      <c r="G50" s="248"/>
      <c r="H50" s="249"/>
      <c r="I50" s="249"/>
      <c r="J50" s="249"/>
      <c r="K50" s="249"/>
      <c r="L50" s="249"/>
      <c r="M50" s="249"/>
      <c r="N50" s="249"/>
      <c r="O50" s="92"/>
      <c r="P50" s="160"/>
      <c r="R50" s="2"/>
      <c r="S50" s="2">
        <f>+S49-S48</f>
        <v>-8197.6549000001305</v>
      </c>
      <c r="T50" s="2"/>
      <c r="U50" s="2">
        <f>+R39</f>
        <v>857.73599999999942</v>
      </c>
      <c r="V50" t="s">
        <v>146</v>
      </c>
    </row>
    <row r="51" spans="1:23" ht="18.75" customHeight="1" x14ac:dyDescent="0.25">
      <c r="A51" s="156"/>
      <c r="B51" s="174" t="s">
        <v>102</v>
      </c>
      <c r="C51" s="175"/>
      <c r="D51" s="42">
        <f>+J16</f>
        <v>106000</v>
      </c>
      <c r="E51" s="42">
        <v>0.32</v>
      </c>
      <c r="F51" s="177">
        <f>+D51*E51</f>
        <v>33920</v>
      </c>
      <c r="G51" s="178"/>
      <c r="H51" s="176"/>
      <c r="I51" s="176"/>
      <c r="J51" s="176"/>
      <c r="K51" s="176"/>
      <c r="L51" s="176"/>
      <c r="M51" s="176"/>
      <c r="N51" s="176"/>
      <c r="O51" s="92"/>
      <c r="P51" s="160"/>
      <c r="R51" s="2"/>
      <c r="S51" s="2"/>
      <c r="T51" s="2"/>
    </row>
    <row r="52" spans="1:23" ht="18.75" customHeight="1" x14ac:dyDescent="0.25">
      <c r="A52" s="156"/>
      <c r="B52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One Hundred Seventy-Nine Thousand Eight Hundred Ninety-Seven</v>
      </c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8"/>
      <c r="P52" s="160"/>
      <c r="Q52" s="2"/>
      <c r="R52" s="2"/>
      <c r="S52" s="2"/>
    </row>
    <row r="53" spans="1:23" ht="18.75" customHeight="1" x14ac:dyDescent="0.25">
      <c r="A53" s="156"/>
      <c r="B53" s="174" t="s">
        <v>103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69"/>
      <c r="P53" s="160"/>
      <c r="Q53" s="2"/>
      <c r="R53" s="2"/>
    </row>
    <row r="54" spans="1:23" ht="18.75" customHeight="1" x14ac:dyDescent="0.25">
      <c r="A54" s="156"/>
      <c r="B54" s="174" t="s">
        <v>104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69"/>
      <c r="P54" s="160"/>
    </row>
    <row r="55" spans="1:23" ht="18.75" customHeight="1" thickBot="1" x14ac:dyDescent="0.3">
      <c r="A55" s="156"/>
      <c r="B55" s="258" t="s">
        <v>105</v>
      </c>
      <c r="C55" s="259"/>
      <c r="D55" s="270"/>
      <c r="E55" s="13" t="s">
        <v>106</v>
      </c>
      <c r="F55" s="13">
        <v>0</v>
      </c>
      <c r="G55" s="13"/>
      <c r="H55" s="271" t="s">
        <v>107</v>
      </c>
      <c r="I55" s="270"/>
      <c r="J55" s="13">
        <v>0</v>
      </c>
      <c r="K55" s="44"/>
      <c r="L55" s="44"/>
      <c r="M55" s="44"/>
      <c r="N55" s="272"/>
      <c r="O55" s="273"/>
      <c r="P55" s="160"/>
    </row>
    <row r="56" spans="1:23" ht="18.75" customHeight="1" thickBot="1" x14ac:dyDescent="0.3">
      <c r="A56" s="156"/>
      <c r="B56" s="250"/>
      <c r="C56" s="251"/>
      <c r="D56" s="251"/>
      <c r="E56" s="251"/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160"/>
    </row>
    <row r="57" spans="1:23" ht="21" customHeight="1" x14ac:dyDescent="0.25">
      <c r="A57" s="156"/>
      <c r="B57" s="252" t="s">
        <v>108</v>
      </c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4"/>
      <c r="P57" s="160"/>
      <c r="Q57" s="2"/>
      <c r="R57" s="2"/>
    </row>
    <row r="58" spans="1:23" ht="25.5" customHeight="1" x14ac:dyDescent="0.25">
      <c r="A58" s="156"/>
      <c r="B58" s="255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7"/>
      <c r="P58" s="160"/>
      <c r="Q58" s="2"/>
    </row>
    <row r="59" spans="1:23" ht="18" customHeight="1" thickBot="1" x14ac:dyDescent="0.3">
      <c r="A59" s="156"/>
      <c r="B59" s="258" t="s">
        <v>109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M59" s="259"/>
      <c r="N59" s="259"/>
      <c r="O59" s="260"/>
      <c r="P59" s="160"/>
      <c r="Q59" s="2"/>
    </row>
    <row r="60" spans="1:23" x14ac:dyDescent="0.25">
      <c r="A60" s="156"/>
      <c r="B60" s="261"/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2"/>
      <c r="O60" s="262"/>
      <c r="P60" s="160"/>
    </row>
    <row r="61" spans="1:23" ht="18" customHeight="1" x14ac:dyDescent="0.25">
      <c r="A61" s="156"/>
      <c r="B61" s="263"/>
      <c r="C61" s="264"/>
      <c r="D61" s="265" t="s">
        <v>110</v>
      </c>
      <c r="E61" s="265"/>
      <c r="F61" s="265"/>
      <c r="G61" s="265"/>
      <c r="H61" s="265"/>
      <c r="I61" s="45"/>
      <c r="J61" s="45"/>
      <c r="K61" s="120"/>
      <c r="L61" s="120"/>
      <c r="M61" s="120"/>
      <c r="N61" s="120"/>
      <c r="O61" s="120"/>
      <c r="P61" s="160"/>
    </row>
    <row r="62" spans="1:23" ht="18" customHeight="1" x14ac:dyDescent="0.25">
      <c r="A62" s="156"/>
      <c r="B62" s="119"/>
      <c r="C62" s="120"/>
      <c r="D62" s="274" t="s">
        <v>111</v>
      </c>
      <c r="E62" s="274"/>
      <c r="F62" s="274" t="s">
        <v>112</v>
      </c>
      <c r="G62" s="274"/>
      <c r="H62" s="274"/>
      <c r="I62" s="120"/>
      <c r="J62" s="120"/>
      <c r="K62" s="120"/>
      <c r="L62" s="120"/>
      <c r="M62" s="120"/>
      <c r="N62" s="120"/>
      <c r="O62" s="120"/>
      <c r="P62" s="160"/>
    </row>
    <row r="63" spans="1:23" ht="18" customHeight="1" x14ac:dyDescent="0.25">
      <c r="A63" s="156"/>
      <c r="B63" s="119"/>
      <c r="C63" s="120"/>
      <c r="D63" s="274" t="s">
        <v>113</v>
      </c>
      <c r="E63" s="274"/>
      <c r="F63" s="274" t="s">
        <v>137</v>
      </c>
      <c r="G63" s="274"/>
      <c r="H63" s="274"/>
      <c r="I63" s="120"/>
      <c r="J63" s="120"/>
      <c r="K63" s="120"/>
      <c r="L63" s="120"/>
      <c r="M63" s="120"/>
      <c r="N63" s="120"/>
      <c r="O63" s="120"/>
      <c r="P63" s="160"/>
    </row>
    <row r="64" spans="1:23" ht="18" customHeight="1" x14ac:dyDescent="0.25">
      <c r="A64" s="156"/>
      <c r="B64" s="119"/>
      <c r="C64" s="120"/>
      <c r="D64" s="274" t="s">
        <v>114</v>
      </c>
      <c r="E64" s="274"/>
      <c r="F64" s="274" t="s">
        <v>115</v>
      </c>
      <c r="G64" s="274"/>
      <c r="H64" s="274"/>
      <c r="I64" s="45"/>
      <c r="J64" s="120"/>
      <c r="K64" s="120"/>
      <c r="L64" s="120"/>
      <c r="M64" s="120"/>
      <c r="N64" s="120"/>
      <c r="O64" s="120"/>
      <c r="P64" s="160"/>
    </row>
    <row r="65" spans="1:16" ht="18" customHeight="1" x14ac:dyDescent="0.25">
      <c r="A65" s="156"/>
      <c r="B65" s="119"/>
      <c r="C65" s="120"/>
      <c r="D65" s="274" t="s">
        <v>116</v>
      </c>
      <c r="E65" s="274"/>
      <c r="F65" s="274" t="s">
        <v>117</v>
      </c>
      <c r="G65" s="274"/>
      <c r="H65" s="274"/>
      <c r="I65" s="45"/>
      <c r="J65" s="120"/>
      <c r="K65" s="120"/>
      <c r="L65" s="120"/>
      <c r="M65" s="120"/>
      <c r="N65" s="120"/>
      <c r="O65" s="120"/>
      <c r="P65" s="160"/>
    </row>
    <row r="66" spans="1:16" x14ac:dyDescent="0.25">
      <c r="A66" s="156"/>
      <c r="B66" s="119"/>
      <c r="C66" s="120"/>
      <c r="D66" s="274" t="s">
        <v>118</v>
      </c>
      <c r="E66" s="274"/>
      <c r="F66" s="274" t="s">
        <v>119</v>
      </c>
      <c r="G66" s="274"/>
      <c r="H66" s="274"/>
      <c r="I66" s="45"/>
      <c r="J66" s="120"/>
      <c r="K66" s="120"/>
      <c r="L66" s="120"/>
      <c r="M66" s="120"/>
      <c r="N66" s="120"/>
      <c r="O66" s="120"/>
      <c r="P66" s="160"/>
    </row>
    <row r="67" spans="1:16" x14ac:dyDescent="0.25">
      <c r="A67" s="156"/>
      <c r="B67" s="119"/>
      <c r="C67" s="120"/>
      <c r="D67" s="274" t="s">
        <v>120</v>
      </c>
      <c r="E67" s="274"/>
      <c r="F67" s="275">
        <f>+O49</f>
        <v>179896.70109999986</v>
      </c>
      <c r="G67" s="275"/>
      <c r="H67" s="275"/>
      <c r="I67" s="45"/>
      <c r="J67" s="120"/>
      <c r="K67" s="120"/>
      <c r="L67" s="120"/>
      <c r="M67" s="120"/>
      <c r="N67" s="120"/>
      <c r="O67" s="120"/>
      <c r="P67" s="160"/>
    </row>
    <row r="68" spans="1:16" ht="15.75" thickBot="1" x14ac:dyDescent="0.3">
      <c r="A68" s="15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161"/>
    </row>
  </sheetData>
  <mergeCells count="148">
    <mergeCell ref="A1:A68"/>
    <mergeCell ref="B1:O1"/>
    <mergeCell ref="P1:P68"/>
    <mergeCell ref="B2:B4"/>
    <mergeCell ref="C2:O2"/>
    <mergeCell ref="C3:O3"/>
    <mergeCell ref="C4:O4"/>
    <mergeCell ref="B5:O5"/>
    <mergeCell ref="D6:E6"/>
    <mergeCell ref="F6:G6"/>
    <mergeCell ref="B8:O8"/>
    <mergeCell ref="B9:E9"/>
    <mergeCell ref="F9:I9"/>
    <mergeCell ref="K9:N9"/>
    <mergeCell ref="B10:E10"/>
    <mergeCell ref="F10:I10"/>
    <mergeCell ref="K10:N10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B13:E13"/>
    <mergeCell ref="F13:I13"/>
    <mergeCell ref="K13:N13"/>
    <mergeCell ref="B14:E14"/>
    <mergeCell ref="F14:I14"/>
    <mergeCell ref="K14:N14"/>
    <mergeCell ref="B11:E11"/>
    <mergeCell ref="F11:I11"/>
    <mergeCell ref="K11:N11"/>
    <mergeCell ref="B12:E12"/>
    <mergeCell ref="F12:I12"/>
    <mergeCell ref="K12:N12"/>
    <mergeCell ref="Q16:S16"/>
    <mergeCell ref="B17:O17"/>
    <mergeCell ref="H18:O18"/>
    <mergeCell ref="B26:O26"/>
    <mergeCell ref="B27:G27"/>
    <mergeCell ref="H27:O27"/>
    <mergeCell ref="B15:E15"/>
    <mergeCell ref="F15:I15"/>
    <mergeCell ref="K15:N15"/>
    <mergeCell ref="B16:E16"/>
    <mergeCell ref="F16:I16"/>
    <mergeCell ref="K16:N16"/>
    <mergeCell ref="B30:C30"/>
    <mergeCell ref="F30:G30"/>
    <mergeCell ref="H30:N30"/>
    <mergeCell ref="B31:C31"/>
    <mergeCell ref="F31:G31"/>
    <mergeCell ref="H31:N31"/>
    <mergeCell ref="B28:C28"/>
    <mergeCell ref="F28:G28"/>
    <mergeCell ref="H28:N28"/>
    <mergeCell ref="B29:C29"/>
    <mergeCell ref="F29:G29"/>
    <mergeCell ref="H29:N29"/>
    <mergeCell ref="B34:C34"/>
    <mergeCell ref="F34:G34"/>
    <mergeCell ref="H34:N34"/>
    <mergeCell ref="B35:C35"/>
    <mergeCell ref="F35:G35"/>
    <mergeCell ref="H35:N35"/>
    <mergeCell ref="B32:C32"/>
    <mergeCell ref="F32:G32"/>
    <mergeCell ref="H32:N32"/>
    <mergeCell ref="B33:C33"/>
    <mergeCell ref="F33:G33"/>
    <mergeCell ref="H33:N33"/>
    <mergeCell ref="B38:C38"/>
    <mergeCell ref="F38:G38"/>
    <mergeCell ref="H38:N38"/>
    <mergeCell ref="B39:C39"/>
    <mergeCell ref="F39:G39"/>
    <mergeCell ref="H39:N39"/>
    <mergeCell ref="B36:C36"/>
    <mergeCell ref="F36:G36"/>
    <mergeCell ref="H36:N36"/>
    <mergeCell ref="B37:C37"/>
    <mergeCell ref="F37:G37"/>
    <mergeCell ref="H37:N37"/>
    <mergeCell ref="B42:C42"/>
    <mergeCell ref="F42:G42"/>
    <mergeCell ref="H42:N42"/>
    <mergeCell ref="B43:C43"/>
    <mergeCell ref="F43:G43"/>
    <mergeCell ref="H43:N43"/>
    <mergeCell ref="B40:C40"/>
    <mergeCell ref="F40:G40"/>
    <mergeCell ref="H40:N40"/>
    <mergeCell ref="B41:C41"/>
    <mergeCell ref="F41:G41"/>
    <mergeCell ref="H41:N41"/>
    <mergeCell ref="B46:C46"/>
    <mergeCell ref="F46:G46"/>
    <mergeCell ref="H46:N46"/>
    <mergeCell ref="B47:C47"/>
    <mergeCell ref="F47:G47"/>
    <mergeCell ref="H47:N47"/>
    <mergeCell ref="B44:C44"/>
    <mergeCell ref="F44:G44"/>
    <mergeCell ref="H44:N44"/>
    <mergeCell ref="B45:C45"/>
    <mergeCell ref="F45:G45"/>
    <mergeCell ref="H45:N45"/>
    <mergeCell ref="B50:C50"/>
    <mergeCell ref="F50:G50"/>
    <mergeCell ref="H50:N50"/>
    <mergeCell ref="B51:C51"/>
    <mergeCell ref="F51:G51"/>
    <mergeCell ref="H51:N51"/>
    <mergeCell ref="B48:C48"/>
    <mergeCell ref="F48:G48"/>
    <mergeCell ref="H48:N48"/>
    <mergeCell ref="B49:C49"/>
    <mergeCell ref="F49:G49"/>
    <mergeCell ref="H49:N49"/>
    <mergeCell ref="B56:O56"/>
    <mergeCell ref="B57:O57"/>
    <mergeCell ref="B58:O58"/>
    <mergeCell ref="B59:O59"/>
    <mergeCell ref="B60:O60"/>
    <mergeCell ref="B61:C61"/>
    <mergeCell ref="D61:H61"/>
    <mergeCell ref="B52:O52"/>
    <mergeCell ref="B53:O53"/>
    <mergeCell ref="B54:O54"/>
    <mergeCell ref="B55:D55"/>
    <mergeCell ref="H55:I55"/>
    <mergeCell ref="N55:O55"/>
    <mergeCell ref="D65:E65"/>
    <mergeCell ref="F65:H65"/>
    <mergeCell ref="D66:E66"/>
    <mergeCell ref="F66:H66"/>
    <mergeCell ref="D67:E67"/>
    <mergeCell ref="F67:H67"/>
    <mergeCell ref="D62:E62"/>
    <mergeCell ref="F62:H62"/>
    <mergeCell ref="D63:E63"/>
    <mergeCell ref="F63:H63"/>
    <mergeCell ref="D64:E64"/>
    <mergeCell ref="F64:H64"/>
  </mergeCells>
  <pageMargins left="0.5" right="0.45" top="0.5" bottom="0.25" header="0.3" footer="0.3"/>
  <pageSetup paperSize="9" scale="59" orientation="portrait" r:id="rId1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zoomScaleNormal="100" workbookViewId="0">
      <selection sqref="A1:XFD1048576"/>
    </sheetView>
  </sheetViews>
  <sheetFormatPr defaultRowHeight="15" x14ac:dyDescent="0.25"/>
  <cols>
    <col min="1" max="1" width="1.7109375" customWidth="1"/>
    <col min="2" max="2" width="18" customWidth="1"/>
    <col min="3" max="3" width="13.710937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19" width="11.7109375" customWidth="1"/>
    <col min="20" max="20" width="8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ROUND(O50,0)</f>
        <v>368754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123">
        <v>1700474</v>
      </c>
      <c r="D7" s="180" t="s">
        <v>10</v>
      </c>
      <c r="E7" s="180"/>
      <c r="F7" s="180" t="s">
        <v>138</v>
      </c>
      <c r="G7" s="180"/>
      <c r="H7" s="180" t="s">
        <v>147</v>
      </c>
      <c r="I7" s="180"/>
      <c r="J7" s="181">
        <v>45778</v>
      </c>
      <c r="K7" s="181"/>
      <c r="L7" s="181">
        <v>45792</v>
      </c>
      <c r="M7" s="181"/>
      <c r="N7" s="181">
        <v>45806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x14ac:dyDescent="0.25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288.39999999999998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124" t="s">
        <v>18</v>
      </c>
      <c r="K11" s="185" t="s">
        <v>19</v>
      </c>
      <c r="L11" s="186"/>
      <c r="M11" s="186"/>
      <c r="N11" s="187"/>
      <c r="O11" s="57"/>
      <c r="P11" s="276"/>
      <c r="Q11" s="101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124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276"/>
      <c r="Q12" s="102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276"/>
      <c r="Q13" s="103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276"/>
      <c r="Q14" s="10" t="s">
        <v>31</v>
      </c>
      <c r="R14" s="86">
        <v>80775</v>
      </c>
      <c r="S14" s="86"/>
      <c r="T14" s="86">
        <f>+R14+S14</f>
        <v>80775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276"/>
      <c r="Q15" s="100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80775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16819.3</v>
      </c>
      <c r="D19" s="15">
        <v>0.14419999999999999</v>
      </c>
      <c r="E19" s="16">
        <v>256.23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15686.9</v>
      </c>
      <c r="D20" s="15">
        <v>0.14069999999999999</v>
      </c>
      <c r="E20" s="16">
        <v>201.773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1132.3999999999996</v>
      </c>
      <c r="D21" s="24">
        <f>+D19</f>
        <v>0.14419999999999999</v>
      </c>
      <c r="E21" s="124">
        <f>+E19-E20</f>
        <v>54.457000000000022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1132.3999999999996</v>
      </c>
      <c r="D23" s="33">
        <f>+D21*D22</f>
        <v>288.39999999999998</v>
      </c>
      <c r="E23" s="33">
        <f>+E22*E21</f>
        <v>108914.00000000004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9.5" customHeight="1" x14ac:dyDescent="0.25">
      <c r="A24" s="156"/>
      <c r="B24" s="90" t="s">
        <v>61</v>
      </c>
      <c r="C24" s="71"/>
      <c r="D24" s="33">
        <v>0</v>
      </c>
      <c r="E24" s="50">
        <f>+O12+J12+J13+O13+J16</f>
        <v>80775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1132.3999999999996</v>
      </c>
      <c r="D25" s="76">
        <f>+D23</f>
        <v>288.39999999999998</v>
      </c>
      <c r="E25" s="77">
        <f>E23-E24</f>
        <v>28139.000000000044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/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(F33+F34+O22+O23+F35+F36+O20)*9/100</f>
        <v>16755.332400000025</v>
      </c>
      <c r="P28" s="160"/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345</v>
      </c>
      <c r="F29" s="213">
        <f>+D29*E29</f>
        <v>111780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>
        <f>R40</f>
        <v>0</v>
      </c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16155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+T39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7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5" ht="18.75" customHeight="1" x14ac:dyDescent="0.25">
      <c r="A33" s="156"/>
      <c r="B33" s="211" t="s">
        <v>77</v>
      </c>
      <c r="C33" s="212"/>
      <c r="D33" s="109">
        <f>E25-C25</f>
        <v>27006.600000000042</v>
      </c>
      <c r="E33" s="34">
        <v>6.6</v>
      </c>
      <c r="F33" s="229">
        <f t="shared" si="2"/>
        <v>178243.56000000026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5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30"/>
      <c r="S34" s="23"/>
      <c r="T34" s="30"/>
    </row>
    <row r="35" spans="1:25" ht="18.75" customHeight="1" x14ac:dyDescent="0.25">
      <c r="A35" s="156"/>
      <c r="B35" s="211" t="s">
        <v>129</v>
      </c>
      <c r="C35" s="212"/>
      <c r="D35" s="34">
        <f>+C25</f>
        <v>1132.3999999999996</v>
      </c>
      <c r="E35" s="34">
        <v>7</v>
      </c>
      <c r="F35" s="229">
        <f t="shared" si="2"/>
        <v>7926.7999999999975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30"/>
      <c r="S35" s="23"/>
      <c r="T35" s="30"/>
    </row>
    <row r="36" spans="1:25" ht="18.75" customHeight="1" x14ac:dyDescent="0.25">
      <c r="A36" s="156"/>
      <c r="B36" s="211" t="s">
        <v>130</v>
      </c>
      <c r="C36" s="212"/>
      <c r="D36" s="37"/>
      <c r="E36" s="34"/>
      <c r="F36" s="229">
        <f t="shared" si="2"/>
        <v>0</v>
      </c>
      <c r="G36" s="230"/>
      <c r="H36" s="242" t="s">
        <v>81</v>
      </c>
      <c r="I36" s="243"/>
      <c r="J36" s="243"/>
      <c r="K36" s="243"/>
      <c r="L36" s="243"/>
      <c r="M36" s="243"/>
      <c r="N36" s="244"/>
      <c r="O36" s="69">
        <f>+O28+O29+O30+O31+O32+O33+O34</f>
        <v>32910.332400000028</v>
      </c>
      <c r="P36" s="160"/>
      <c r="R36" s="30"/>
      <c r="S36" s="30"/>
      <c r="T36" s="36"/>
    </row>
    <row r="37" spans="1:25" ht="18.75" customHeight="1" x14ac:dyDescent="0.25">
      <c r="A37" s="156"/>
      <c r="B37" s="211" t="s">
        <v>82</v>
      </c>
      <c r="C37" s="212"/>
      <c r="D37" s="50">
        <f>E25-C25</f>
        <v>27006.600000000042</v>
      </c>
      <c r="E37" s="34">
        <v>0.3</v>
      </c>
      <c r="F37" s="229">
        <f t="shared" si="2"/>
        <v>8101.9800000000123</v>
      </c>
      <c r="G37" s="230"/>
      <c r="H37" s="215" t="s">
        <v>83</v>
      </c>
      <c r="I37" s="216"/>
      <c r="J37" s="216"/>
      <c r="K37" s="216"/>
      <c r="L37" s="216"/>
      <c r="M37" s="216"/>
      <c r="N37" s="217"/>
      <c r="O37" s="75">
        <v>0</v>
      </c>
      <c r="P37" s="160"/>
      <c r="R37" s="122"/>
      <c r="S37" s="30"/>
      <c r="T37" s="36"/>
    </row>
    <row r="38" spans="1:25" ht="18.75" customHeight="1" thickBot="1" x14ac:dyDescent="0.3">
      <c r="A38" s="156"/>
      <c r="B38" s="279" t="s">
        <v>148</v>
      </c>
      <c r="C38" s="280"/>
      <c r="D38" s="129">
        <f>E25-C25</f>
        <v>27006.600000000042</v>
      </c>
      <c r="E38" s="130">
        <v>0.36</v>
      </c>
      <c r="F38" s="284">
        <f>D38*E38</f>
        <v>9722.3760000000148</v>
      </c>
      <c r="G38" s="285"/>
      <c r="H38" s="281"/>
      <c r="I38" s="282"/>
      <c r="J38" s="282"/>
      <c r="K38" s="282"/>
      <c r="L38" s="282"/>
      <c r="M38" s="282"/>
      <c r="N38" s="283"/>
      <c r="O38" s="75"/>
      <c r="P38" s="160"/>
      <c r="R38" s="127"/>
      <c r="S38" s="128"/>
      <c r="T38" s="128"/>
    </row>
    <row r="39" spans="1:25" s="39" customFormat="1" ht="18.75" customHeight="1" thickBot="1" x14ac:dyDescent="0.3">
      <c r="A39" s="156"/>
      <c r="B39" s="234" t="s">
        <v>131</v>
      </c>
      <c r="C39" s="235"/>
      <c r="D39" s="83"/>
      <c r="E39" s="38"/>
      <c r="F39" s="229">
        <v>0</v>
      </c>
      <c r="G39" s="230"/>
      <c r="H39" s="236" t="s">
        <v>132</v>
      </c>
      <c r="I39" s="237"/>
      <c r="J39" s="237"/>
      <c r="K39" s="237"/>
      <c r="L39" s="237"/>
      <c r="M39" s="237"/>
      <c r="N39" s="238"/>
      <c r="O39" s="69">
        <v>0</v>
      </c>
      <c r="P39" s="160"/>
      <c r="Q39" s="2"/>
      <c r="R39" s="2"/>
      <c r="S39" s="7"/>
      <c r="T39" s="82"/>
    </row>
    <row r="40" spans="1:25" ht="18.75" customHeight="1" x14ac:dyDescent="0.25">
      <c r="A40" s="156"/>
      <c r="B40" s="211" t="s">
        <v>85</v>
      </c>
      <c r="C40" s="212"/>
      <c r="D40" s="35"/>
      <c r="E40" s="25"/>
      <c r="F40" s="229">
        <f>+O25</f>
        <v>0</v>
      </c>
      <c r="G40" s="230"/>
      <c r="H40" s="226" t="s">
        <v>86</v>
      </c>
      <c r="I40" s="227"/>
      <c r="J40" s="227"/>
      <c r="K40" s="227"/>
      <c r="L40" s="227"/>
      <c r="M40" s="227"/>
      <c r="N40" s="228"/>
      <c r="O40" s="69">
        <f>+O37+O39</f>
        <v>0</v>
      </c>
      <c r="P40" s="160"/>
      <c r="Q40" s="81"/>
      <c r="R40" s="81"/>
      <c r="S40" s="39"/>
      <c r="T40" s="39"/>
    </row>
    <row r="41" spans="1:25" ht="28.5" customHeight="1" x14ac:dyDescent="0.25">
      <c r="A41" s="156"/>
      <c r="B41" s="211" t="s">
        <v>87</v>
      </c>
      <c r="C41" s="212"/>
      <c r="D41" s="25"/>
      <c r="E41" s="25"/>
      <c r="F41" s="213">
        <v>0</v>
      </c>
      <c r="G41" s="214"/>
      <c r="H41" s="226" t="s">
        <v>88</v>
      </c>
      <c r="I41" s="227"/>
      <c r="J41" s="227"/>
      <c r="K41" s="227"/>
      <c r="L41" s="227"/>
      <c r="M41" s="227"/>
      <c r="N41" s="228"/>
      <c r="O41" s="69">
        <f>+F29+F30+F31+F32+F33+F34+F35+F36+F37+F39+F40+F41+F42+F43+F44+F45+F46+F47+F48+F49+F50+F51+F52+O36+F38</f>
        <v>372109.79840000032</v>
      </c>
      <c r="P41" s="160"/>
      <c r="Q41" s="2"/>
      <c r="R41" s="2"/>
      <c r="S41" t="s">
        <v>146</v>
      </c>
    </row>
    <row r="42" spans="1:25" ht="18.75" customHeight="1" x14ac:dyDescent="0.25">
      <c r="A42" s="156"/>
      <c r="B42" s="218" t="s">
        <v>89</v>
      </c>
      <c r="C42" s="219"/>
      <c r="D42" s="25"/>
      <c r="E42" s="25"/>
      <c r="F42" s="213">
        <v>0</v>
      </c>
      <c r="G42" s="214"/>
      <c r="H42" s="226" t="s">
        <v>90</v>
      </c>
      <c r="I42" s="227"/>
      <c r="J42" s="227"/>
      <c r="K42" s="227"/>
      <c r="L42" s="227"/>
      <c r="M42" s="227"/>
      <c r="N42" s="228"/>
      <c r="O42" s="75" t="s">
        <v>68</v>
      </c>
      <c r="P42" s="160"/>
      <c r="V42">
        <f>23425+7927+101.88+339.72+407.664</f>
        <v>32201.264000000003</v>
      </c>
    </row>
    <row r="43" spans="1:25" ht="18.75" customHeight="1" x14ac:dyDescent="0.25">
      <c r="A43" s="156"/>
      <c r="B43" s="211" t="s">
        <v>91</v>
      </c>
      <c r="C43" s="212"/>
      <c r="D43" s="25"/>
      <c r="E43" s="25"/>
      <c r="F43" s="213">
        <v>0</v>
      </c>
      <c r="G43" s="214"/>
      <c r="H43" s="224"/>
      <c r="I43" s="245"/>
      <c r="J43" s="245"/>
      <c r="K43" s="245"/>
      <c r="L43" s="245"/>
      <c r="M43" s="245"/>
      <c r="N43" s="225"/>
      <c r="O43" s="75"/>
      <c r="P43" s="160"/>
    </row>
    <row r="44" spans="1:25" ht="18.75" customHeight="1" x14ac:dyDescent="0.25">
      <c r="A44" s="156"/>
      <c r="B44" s="218" t="s">
        <v>133</v>
      </c>
      <c r="C44" s="219"/>
      <c r="D44" s="25"/>
      <c r="E44" s="25"/>
      <c r="F44" s="213">
        <v>0</v>
      </c>
      <c r="G44" s="214"/>
      <c r="H44" s="215" t="s">
        <v>92</v>
      </c>
      <c r="I44" s="216"/>
      <c r="J44" s="216"/>
      <c r="K44" s="216"/>
      <c r="L44" s="216"/>
      <c r="M44" s="216"/>
      <c r="N44" s="217"/>
      <c r="O44" s="2">
        <v>-3356</v>
      </c>
      <c r="P44" s="160"/>
      <c r="T44" t="s">
        <v>102</v>
      </c>
      <c r="U44" t="s">
        <v>160</v>
      </c>
      <c r="V44" t="s">
        <v>152</v>
      </c>
      <c r="W44" t="s">
        <v>153</v>
      </c>
      <c r="X44" t="s">
        <v>154</v>
      </c>
      <c r="Y44" t="s">
        <v>161</v>
      </c>
    </row>
    <row r="45" spans="1:25" ht="21" customHeight="1" x14ac:dyDescent="0.25">
      <c r="A45" s="156"/>
      <c r="B45" s="218" t="s">
        <v>134</v>
      </c>
      <c r="C45" s="219"/>
      <c r="D45" s="33">
        <f>+J13</f>
        <v>0</v>
      </c>
      <c r="E45" s="33">
        <v>1.92</v>
      </c>
      <c r="F45" s="213">
        <f>+D45*E45</f>
        <v>0</v>
      </c>
      <c r="G45" s="214"/>
      <c r="H45" s="215" t="s">
        <v>84</v>
      </c>
      <c r="I45" s="216"/>
      <c r="J45" s="216"/>
      <c r="K45" s="216"/>
      <c r="L45" s="216"/>
      <c r="M45" s="216"/>
      <c r="N45" s="217"/>
      <c r="O45" s="69">
        <v>0</v>
      </c>
      <c r="P45" s="160"/>
      <c r="T45">
        <v>23425</v>
      </c>
      <c r="U45">
        <v>7927</v>
      </c>
      <c r="V45">
        <f>1132*9/100</f>
        <v>101.88</v>
      </c>
      <c r="W45">
        <f>1132.4*0.3</f>
        <v>339.72</v>
      </c>
      <c r="X45">
        <f>1132.4*0.36</f>
        <v>407.66400000000004</v>
      </c>
      <c r="Y45">
        <f>T45+U45+V45+W45+X45</f>
        <v>32201.264000000003</v>
      </c>
    </row>
    <row r="46" spans="1:25" ht="29.25" customHeight="1" x14ac:dyDescent="0.25">
      <c r="A46" s="156"/>
      <c r="B46" s="218" t="s">
        <v>135</v>
      </c>
      <c r="C46" s="219"/>
      <c r="D46" s="33">
        <f>+O13</f>
        <v>0</v>
      </c>
      <c r="E46" s="33">
        <v>1.92</v>
      </c>
      <c r="F46" s="246">
        <f>+D46*E46</f>
        <v>0</v>
      </c>
      <c r="G46" s="247"/>
      <c r="H46" s="215" t="s">
        <v>93</v>
      </c>
      <c r="I46" s="216"/>
      <c r="J46" s="216"/>
      <c r="K46" s="216"/>
      <c r="L46" s="216"/>
      <c r="M46" s="216"/>
      <c r="N46" s="217"/>
      <c r="O46" s="69">
        <v>0</v>
      </c>
      <c r="P46" s="160"/>
      <c r="Q46" s="84"/>
      <c r="R46" s="2"/>
    </row>
    <row r="47" spans="1:25" ht="18.75" customHeight="1" x14ac:dyDescent="0.25">
      <c r="A47" s="156"/>
      <c r="B47" s="218" t="s">
        <v>94</v>
      </c>
      <c r="C47" s="219"/>
      <c r="D47" s="33">
        <f>+J13</f>
        <v>0</v>
      </c>
      <c r="E47" s="34">
        <v>1.37</v>
      </c>
      <c r="F47" s="213">
        <f>+D47*E47</f>
        <v>0</v>
      </c>
      <c r="G47" s="214"/>
      <c r="H47" s="215" t="s">
        <v>95</v>
      </c>
      <c r="I47" s="216"/>
      <c r="J47" s="216"/>
      <c r="K47" s="216"/>
      <c r="L47" s="216"/>
      <c r="M47" s="216"/>
      <c r="N47" s="217"/>
      <c r="O47" s="69">
        <v>0</v>
      </c>
      <c r="P47" s="160"/>
      <c r="R47" s="2"/>
      <c r="S47" s="121"/>
      <c r="T47" s="2"/>
    </row>
    <row r="48" spans="1:25" ht="29.25" customHeight="1" x14ac:dyDescent="0.25">
      <c r="A48" s="156"/>
      <c r="B48" s="218" t="s">
        <v>96</v>
      </c>
      <c r="C48" s="219"/>
      <c r="D48" s="33">
        <f>+O12+O13</f>
        <v>0</v>
      </c>
      <c r="E48" s="34">
        <v>0.82</v>
      </c>
      <c r="F48" s="246">
        <f>+D48*E48</f>
        <v>0</v>
      </c>
      <c r="G48" s="247"/>
      <c r="H48" s="226" t="s">
        <v>97</v>
      </c>
      <c r="I48" s="227"/>
      <c r="J48" s="227"/>
      <c r="K48" s="227"/>
      <c r="L48" s="227"/>
      <c r="M48" s="227"/>
      <c r="N48" s="228"/>
      <c r="O48" s="69">
        <f>+O43+O44+O45+O46+O47</f>
        <v>-3356</v>
      </c>
      <c r="P48" s="160"/>
      <c r="R48" s="2"/>
      <c r="S48" s="2"/>
    </row>
    <row r="49" spans="1:21" ht="18.75" customHeight="1" x14ac:dyDescent="0.25">
      <c r="A49" s="156"/>
      <c r="B49" s="218" t="s">
        <v>98</v>
      </c>
      <c r="C49" s="219"/>
      <c r="D49" s="33">
        <f>+O16</f>
        <v>0</v>
      </c>
      <c r="E49" s="34">
        <v>-1.9</v>
      </c>
      <c r="F49" s="246">
        <f>+D49*E49</f>
        <v>0</v>
      </c>
      <c r="G49" s="247"/>
      <c r="H49" s="226" t="s">
        <v>99</v>
      </c>
      <c r="I49" s="227"/>
      <c r="J49" s="227"/>
      <c r="K49" s="227"/>
      <c r="L49" s="227"/>
      <c r="M49" s="227"/>
      <c r="N49" s="228"/>
      <c r="O49" s="85">
        <f>+O48+O41</f>
        <v>368753.79840000032</v>
      </c>
      <c r="P49" s="160"/>
      <c r="Q49" s="2"/>
      <c r="R49" s="2"/>
      <c r="S49" s="2"/>
      <c r="U49" s="2"/>
    </row>
    <row r="50" spans="1:21" ht="18.75" customHeight="1" x14ac:dyDescent="0.25">
      <c r="A50" s="156"/>
      <c r="B50" s="174" t="s">
        <v>100</v>
      </c>
      <c r="C50" s="175"/>
      <c r="D50" s="40"/>
      <c r="E50" s="124">
        <v>0</v>
      </c>
      <c r="F50" s="213">
        <v>0</v>
      </c>
      <c r="G50" s="214"/>
      <c r="H50" s="226" t="s">
        <v>101</v>
      </c>
      <c r="I50" s="227"/>
      <c r="J50" s="227"/>
      <c r="K50" s="227"/>
      <c r="L50" s="227"/>
      <c r="M50" s="227"/>
      <c r="N50" s="228"/>
      <c r="O50" s="85">
        <f>+O49</f>
        <v>368753.79840000032</v>
      </c>
      <c r="P50" s="160"/>
      <c r="Q50" s="2"/>
      <c r="R50" s="2"/>
      <c r="S50" s="2"/>
      <c r="T50" s="2"/>
      <c r="U50" s="2"/>
    </row>
    <row r="51" spans="1:21" ht="27.75" customHeight="1" x14ac:dyDescent="0.25">
      <c r="A51" s="156"/>
      <c r="B51" s="183" t="s">
        <v>136</v>
      </c>
      <c r="C51" s="184"/>
      <c r="D51" s="11"/>
      <c r="E51" s="11"/>
      <c r="F51" s="248">
        <v>0</v>
      </c>
      <c r="G51" s="248"/>
      <c r="H51" s="249"/>
      <c r="I51" s="249"/>
      <c r="J51" s="249"/>
      <c r="K51" s="249"/>
      <c r="L51" s="249"/>
      <c r="M51" s="249"/>
      <c r="N51" s="249"/>
      <c r="O51" s="92"/>
      <c r="P51" s="160"/>
      <c r="R51" s="2"/>
      <c r="S51" s="2"/>
      <c r="T51" s="2"/>
      <c r="U51" s="2"/>
    </row>
    <row r="52" spans="1:21" ht="18.75" customHeight="1" x14ac:dyDescent="0.25">
      <c r="A52" s="156"/>
      <c r="B52" s="174" t="s">
        <v>102</v>
      </c>
      <c r="C52" s="175"/>
      <c r="D52" s="42">
        <f>+J16</f>
        <v>80775</v>
      </c>
      <c r="E52" s="42">
        <v>0.28999999999999998</v>
      </c>
      <c r="F52" s="177">
        <f>+D52*E52</f>
        <v>23424.75</v>
      </c>
      <c r="G52" s="178"/>
      <c r="H52" s="176"/>
      <c r="I52" s="176"/>
      <c r="J52" s="176"/>
      <c r="K52" s="176"/>
      <c r="L52" s="176"/>
      <c r="M52" s="176"/>
      <c r="N52" s="176"/>
      <c r="O52" s="92"/>
      <c r="P52" s="160"/>
      <c r="R52" s="2"/>
      <c r="S52" s="2"/>
      <c r="T52" s="2"/>
    </row>
    <row r="53" spans="1:21" ht="18.75" customHeight="1" x14ac:dyDescent="0.25">
      <c r="A53" s="156"/>
      <c r="B53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Three Hundred Sixty-Eight Thousand Seven Hundred Fifty-Four</v>
      </c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8"/>
      <c r="P53" s="160"/>
      <c r="Q53" s="2"/>
      <c r="R53" s="2"/>
      <c r="S53" s="2"/>
    </row>
    <row r="54" spans="1:21" ht="18.75" customHeight="1" x14ac:dyDescent="0.25">
      <c r="A54" s="156"/>
      <c r="B54" s="174" t="s">
        <v>103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69"/>
      <c r="P54" s="160"/>
      <c r="Q54" s="2"/>
      <c r="R54" s="2"/>
    </row>
    <row r="55" spans="1:21" ht="18.75" customHeight="1" x14ac:dyDescent="0.25">
      <c r="A55" s="156"/>
      <c r="B55" s="174" t="s">
        <v>104</v>
      </c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69"/>
      <c r="P55" s="160"/>
    </row>
    <row r="56" spans="1:21" ht="18.75" customHeight="1" thickBot="1" x14ac:dyDescent="0.3">
      <c r="A56" s="156"/>
      <c r="B56" s="258" t="s">
        <v>105</v>
      </c>
      <c r="C56" s="259"/>
      <c r="D56" s="270"/>
      <c r="E56" s="13" t="s">
        <v>106</v>
      </c>
      <c r="F56" s="13">
        <v>0</v>
      </c>
      <c r="G56" s="13"/>
      <c r="H56" s="271" t="s">
        <v>107</v>
      </c>
      <c r="I56" s="270"/>
      <c r="J56" s="13">
        <v>0</v>
      </c>
      <c r="K56" s="44"/>
      <c r="L56" s="44"/>
      <c r="M56" s="44"/>
      <c r="N56" s="272"/>
      <c r="O56" s="273"/>
      <c r="P56" s="160"/>
    </row>
    <row r="57" spans="1:21" ht="18.75" customHeight="1" thickBot="1" x14ac:dyDescent="0.3">
      <c r="A57" s="156"/>
      <c r="B57" s="250"/>
      <c r="C57" s="251"/>
      <c r="D57" s="251"/>
      <c r="E57" s="251"/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160"/>
    </row>
    <row r="58" spans="1:21" ht="21" customHeight="1" x14ac:dyDescent="0.25">
      <c r="A58" s="156"/>
      <c r="B58" s="252" t="s">
        <v>108</v>
      </c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4"/>
      <c r="P58" s="160"/>
      <c r="Q58" s="2"/>
      <c r="R58" s="2"/>
    </row>
    <row r="59" spans="1:21" ht="25.5" customHeight="1" x14ac:dyDescent="0.25">
      <c r="A59" s="156"/>
      <c r="B59" s="255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7"/>
      <c r="P59" s="160"/>
      <c r="Q59" s="2"/>
    </row>
    <row r="60" spans="1:21" ht="18" customHeight="1" thickBot="1" x14ac:dyDescent="0.3">
      <c r="A60" s="156"/>
      <c r="B60" s="258" t="s">
        <v>109</v>
      </c>
      <c r="C60" s="259"/>
      <c r="D60" s="259"/>
      <c r="E60" s="259"/>
      <c r="F60" s="259"/>
      <c r="G60" s="259"/>
      <c r="H60" s="259"/>
      <c r="I60" s="259"/>
      <c r="J60" s="259"/>
      <c r="K60" s="259"/>
      <c r="L60" s="259"/>
      <c r="M60" s="259"/>
      <c r="N60" s="259"/>
      <c r="O60" s="260"/>
      <c r="P60" s="160"/>
      <c r="Q60" s="2"/>
    </row>
    <row r="61" spans="1:21" x14ac:dyDescent="0.25">
      <c r="A61" s="156"/>
      <c r="B61" s="261"/>
      <c r="C61" s="262"/>
      <c r="D61" s="262"/>
      <c r="E61" s="262"/>
      <c r="F61" s="262"/>
      <c r="G61" s="262"/>
      <c r="H61" s="262"/>
      <c r="I61" s="262"/>
      <c r="J61" s="262"/>
      <c r="K61" s="262"/>
      <c r="L61" s="262"/>
      <c r="M61" s="262"/>
      <c r="N61" s="262"/>
      <c r="O61" s="262"/>
      <c r="P61" s="160"/>
    </row>
    <row r="62" spans="1:21" ht="18" customHeight="1" x14ac:dyDescent="0.25">
      <c r="A62" s="156"/>
      <c r="B62" s="263"/>
      <c r="C62" s="264"/>
      <c r="D62" s="265" t="s">
        <v>110</v>
      </c>
      <c r="E62" s="265"/>
      <c r="F62" s="265"/>
      <c r="G62" s="265"/>
      <c r="H62" s="265"/>
      <c r="I62" s="45"/>
      <c r="J62" s="45"/>
      <c r="K62" s="126"/>
      <c r="L62" s="126"/>
      <c r="M62" s="126"/>
      <c r="N62" s="126"/>
      <c r="O62" s="126"/>
      <c r="P62" s="160"/>
    </row>
    <row r="63" spans="1:21" ht="18" customHeight="1" x14ac:dyDescent="0.25">
      <c r="A63" s="156"/>
      <c r="B63" s="125"/>
      <c r="C63" s="126"/>
      <c r="D63" s="274" t="s">
        <v>111</v>
      </c>
      <c r="E63" s="274"/>
      <c r="F63" s="274" t="s">
        <v>112</v>
      </c>
      <c r="G63" s="274"/>
      <c r="H63" s="274"/>
      <c r="I63" s="126"/>
      <c r="J63" s="126"/>
      <c r="K63" s="126"/>
      <c r="L63" s="126"/>
      <c r="M63" s="126"/>
      <c r="N63" s="126"/>
      <c r="O63" s="126"/>
      <c r="P63" s="160"/>
    </row>
    <row r="64" spans="1:21" ht="18" customHeight="1" x14ac:dyDescent="0.25">
      <c r="A64" s="156"/>
      <c r="B64" s="125"/>
      <c r="C64" s="126"/>
      <c r="D64" s="274" t="s">
        <v>113</v>
      </c>
      <c r="E64" s="274"/>
      <c r="F64" s="274" t="s">
        <v>137</v>
      </c>
      <c r="G64" s="274"/>
      <c r="H64" s="274"/>
      <c r="I64" s="126"/>
      <c r="J64" s="126"/>
      <c r="K64" s="126"/>
      <c r="L64" s="126"/>
      <c r="M64" s="126"/>
      <c r="N64" s="126"/>
      <c r="O64" s="126"/>
      <c r="P64" s="160"/>
    </row>
    <row r="65" spans="1:16" ht="18" customHeight="1" x14ac:dyDescent="0.25">
      <c r="A65" s="156"/>
      <c r="B65" s="125"/>
      <c r="C65" s="126"/>
      <c r="D65" s="274" t="s">
        <v>114</v>
      </c>
      <c r="E65" s="274"/>
      <c r="F65" s="274" t="s">
        <v>115</v>
      </c>
      <c r="G65" s="274"/>
      <c r="H65" s="274"/>
      <c r="I65" s="45"/>
      <c r="J65" s="126"/>
      <c r="K65" s="126"/>
      <c r="L65" s="126"/>
      <c r="M65" s="126"/>
      <c r="N65" s="126"/>
      <c r="O65" s="126"/>
      <c r="P65" s="160"/>
    </row>
    <row r="66" spans="1:16" ht="18" customHeight="1" x14ac:dyDescent="0.25">
      <c r="A66" s="156"/>
      <c r="B66" s="125"/>
      <c r="C66" s="126"/>
      <c r="D66" s="274" t="s">
        <v>116</v>
      </c>
      <c r="E66" s="274"/>
      <c r="F66" s="274" t="s">
        <v>117</v>
      </c>
      <c r="G66" s="274"/>
      <c r="H66" s="274"/>
      <c r="I66" s="45"/>
      <c r="J66" s="126"/>
      <c r="K66" s="126"/>
      <c r="L66" s="126"/>
      <c r="M66" s="126"/>
      <c r="N66" s="126"/>
      <c r="O66" s="126"/>
      <c r="P66" s="160"/>
    </row>
    <row r="67" spans="1:16" x14ac:dyDescent="0.25">
      <c r="A67" s="156"/>
      <c r="B67" s="125"/>
      <c r="C67" s="126"/>
      <c r="D67" s="274" t="s">
        <v>118</v>
      </c>
      <c r="E67" s="274"/>
      <c r="F67" s="274" t="s">
        <v>119</v>
      </c>
      <c r="G67" s="274"/>
      <c r="H67" s="274"/>
      <c r="I67" s="45"/>
      <c r="J67" s="126"/>
      <c r="K67" s="126"/>
      <c r="L67" s="126"/>
      <c r="M67" s="126"/>
      <c r="N67" s="126"/>
      <c r="O67" s="126"/>
      <c r="P67" s="160"/>
    </row>
    <row r="68" spans="1:16" x14ac:dyDescent="0.25">
      <c r="A68" s="156"/>
      <c r="B68" s="125"/>
      <c r="C68" s="126"/>
      <c r="D68" s="274" t="s">
        <v>120</v>
      </c>
      <c r="E68" s="274"/>
      <c r="F68" s="275">
        <f>+O50</f>
        <v>368753.79840000032</v>
      </c>
      <c r="G68" s="275"/>
      <c r="H68" s="275"/>
      <c r="I68" s="45"/>
      <c r="J68" s="126"/>
      <c r="K68" s="126"/>
      <c r="L68" s="126"/>
      <c r="M68" s="126"/>
      <c r="N68" s="126"/>
      <c r="O68" s="126"/>
      <c r="P68" s="160"/>
    </row>
    <row r="69" spans="1:16" ht="15.75" thickBot="1" x14ac:dyDescent="0.3">
      <c r="A69" s="157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161"/>
    </row>
  </sheetData>
  <mergeCells count="151">
    <mergeCell ref="A1:A69"/>
    <mergeCell ref="B1:O1"/>
    <mergeCell ref="P1:P69"/>
    <mergeCell ref="B2:B4"/>
    <mergeCell ref="C2:O2"/>
    <mergeCell ref="C3:O3"/>
    <mergeCell ref="C4:O4"/>
    <mergeCell ref="B5:O5"/>
    <mergeCell ref="D6:E6"/>
    <mergeCell ref="F6:G6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B11:E11"/>
    <mergeCell ref="F11:I11"/>
    <mergeCell ref="K11:N11"/>
    <mergeCell ref="B12:E12"/>
    <mergeCell ref="F12:I12"/>
    <mergeCell ref="K12:N12"/>
    <mergeCell ref="B8:O8"/>
    <mergeCell ref="B9:E9"/>
    <mergeCell ref="F9:I9"/>
    <mergeCell ref="K9:N9"/>
    <mergeCell ref="B10:E10"/>
    <mergeCell ref="F10:I10"/>
    <mergeCell ref="K10:N10"/>
    <mergeCell ref="B15:E15"/>
    <mergeCell ref="F15:I15"/>
    <mergeCell ref="K15:N15"/>
    <mergeCell ref="B16:E16"/>
    <mergeCell ref="F16:I16"/>
    <mergeCell ref="K16:N16"/>
    <mergeCell ref="B13:E13"/>
    <mergeCell ref="F13:I13"/>
    <mergeCell ref="K13:N13"/>
    <mergeCell ref="B14:E14"/>
    <mergeCell ref="F14:I14"/>
    <mergeCell ref="K14:N14"/>
    <mergeCell ref="B28:C28"/>
    <mergeCell ref="F28:G28"/>
    <mergeCell ref="H28:N28"/>
    <mergeCell ref="B29:C29"/>
    <mergeCell ref="F29:G29"/>
    <mergeCell ref="H29:N29"/>
    <mergeCell ref="Q16:S16"/>
    <mergeCell ref="B17:O17"/>
    <mergeCell ref="H18:O18"/>
    <mergeCell ref="B26:O26"/>
    <mergeCell ref="B27:G27"/>
    <mergeCell ref="H27:O27"/>
    <mergeCell ref="B32:C32"/>
    <mergeCell ref="F32:G32"/>
    <mergeCell ref="H32:N32"/>
    <mergeCell ref="B33:C33"/>
    <mergeCell ref="F33:G33"/>
    <mergeCell ref="H33:N33"/>
    <mergeCell ref="B30:C30"/>
    <mergeCell ref="F30:G30"/>
    <mergeCell ref="H30:N30"/>
    <mergeCell ref="B31:C31"/>
    <mergeCell ref="F31:G31"/>
    <mergeCell ref="H31:N31"/>
    <mergeCell ref="B36:C36"/>
    <mergeCell ref="F36:G36"/>
    <mergeCell ref="H36:N36"/>
    <mergeCell ref="B37:C37"/>
    <mergeCell ref="F37:G37"/>
    <mergeCell ref="H37:N37"/>
    <mergeCell ref="B34:C34"/>
    <mergeCell ref="F34:G34"/>
    <mergeCell ref="H34:N34"/>
    <mergeCell ref="B35:C35"/>
    <mergeCell ref="F35:G35"/>
    <mergeCell ref="H35:N35"/>
    <mergeCell ref="B41:C41"/>
    <mergeCell ref="F41:G41"/>
    <mergeCell ref="H41:N41"/>
    <mergeCell ref="B42:C42"/>
    <mergeCell ref="F42:G42"/>
    <mergeCell ref="H42:N42"/>
    <mergeCell ref="B39:C39"/>
    <mergeCell ref="F39:G39"/>
    <mergeCell ref="H39:N39"/>
    <mergeCell ref="B40:C40"/>
    <mergeCell ref="F40:G40"/>
    <mergeCell ref="H40:N40"/>
    <mergeCell ref="B45:C45"/>
    <mergeCell ref="F45:G45"/>
    <mergeCell ref="H45:N45"/>
    <mergeCell ref="B46:C46"/>
    <mergeCell ref="F46:G46"/>
    <mergeCell ref="H46:N46"/>
    <mergeCell ref="B43:C43"/>
    <mergeCell ref="F43:G43"/>
    <mergeCell ref="H43:N43"/>
    <mergeCell ref="B44:C44"/>
    <mergeCell ref="F44:G44"/>
    <mergeCell ref="H44:N44"/>
    <mergeCell ref="B49:C49"/>
    <mergeCell ref="F49:G49"/>
    <mergeCell ref="H49:N49"/>
    <mergeCell ref="B50:C50"/>
    <mergeCell ref="F50:G50"/>
    <mergeCell ref="H50:N50"/>
    <mergeCell ref="B47:C47"/>
    <mergeCell ref="F47:G47"/>
    <mergeCell ref="H47:N47"/>
    <mergeCell ref="B48:C48"/>
    <mergeCell ref="F48:G48"/>
    <mergeCell ref="H48:N48"/>
    <mergeCell ref="B55:O55"/>
    <mergeCell ref="B56:D56"/>
    <mergeCell ref="H56:I56"/>
    <mergeCell ref="N56:O56"/>
    <mergeCell ref="B51:C51"/>
    <mergeCell ref="F51:G51"/>
    <mergeCell ref="H51:N51"/>
    <mergeCell ref="B52:C52"/>
    <mergeCell ref="F52:G52"/>
    <mergeCell ref="H52:N52"/>
    <mergeCell ref="B38:C38"/>
    <mergeCell ref="H38:N38"/>
    <mergeCell ref="F38:G38"/>
    <mergeCell ref="D66:E66"/>
    <mergeCell ref="F66:H66"/>
    <mergeCell ref="D67:E67"/>
    <mergeCell ref="F67:H67"/>
    <mergeCell ref="D68:E68"/>
    <mergeCell ref="F68:H68"/>
    <mergeCell ref="D63:E63"/>
    <mergeCell ref="F63:H63"/>
    <mergeCell ref="D64:E64"/>
    <mergeCell ref="F64:H64"/>
    <mergeCell ref="D65:E65"/>
    <mergeCell ref="F65:H65"/>
    <mergeCell ref="B57:O57"/>
    <mergeCell ref="B58:O58"/>
    <mergeCell ref="B59:O59"/>
    <mergeCell ref="B60:O60"/>
    <mergeCell ref="B61:O61"/>
    <mergeCell ref="B62:C62"/>
    <mergeCell ref="D62:H62"/>
    <mergeCell ref="B53:O53"/>
    <mergeCell ref="B54:O54"/>
  </mergeCells>
  <pageMargins left="0.5" right="0.45" top="0.5" bottom="0.25" header="0.3" footer="0.3"/>
  <pageSetup paperSize="9" scale="59" orientation="portrait" r:id="rId1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tabSelected="1" zoomScaleNormal="100" workbookViewId="0">
      <selection activeCell="S55" sqref="S55"/>
    </sheetView>
  </sheetViews>
  <sheetFormatPr defaultRowHeight="15" x14ac:dyDescent="0.25"/>
  <cols>
    <col min="1" max="1" width="1.7109375" customWidth="1"/>
    <col min="2" max="2" width="18" customWidth="1"/>
    <col min="3" max="3" width="13.710937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19" width="18.28515625" bestFit="1" customWidth="1"/>
    <col min="20" max="20" width="8" bestFit="1" customWidth="1"/>
    <col min="21" max="21" width="7" bestFit="1" customWidth="1"/>
    <col min="22" max="22" width="10.140625" customWidth="1"/>
    <col min="23" max="24" width="10" bestFit="1" customWidth="1"/>
    <col min="25" max="26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ROUND(O52,0)</f>
        <v>649310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131">
        <v>1700474</v>
      </c>
      <c r="D7" s="180" t="s">
        <v>10</v>
      </c>
      <c r="E7" s="180"/>
      <c r="F7" s="180" t="s">
        <v>138</v>
      </c>
      <c r="G7" s="180"/>
      <c r="H7" s="180" t="s">
        <v>149</v>
      </c>
      <c r="I7" s="180"/>
      <c r="J7" s="181">
        <v>45809</v>
      </c>
      <c r="K7" s="181"/>
      <c r="L7" s="181">
        <v>45823</v>
      </c>
      <c r="M7" s="181"/>
      <c r="N7" s="181">
        <v>45837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x14ac:dyDescent="0.25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296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132" t="s">
        <v>18</v>
      </c>
      <c r="K11" s="185" t="s">
        <v>19</v>
      </c>
      <c r="L11" s="186"/>
      <c r="M11" s="186"/>
      <c r="N11" s="187"/>
      <c r="O11" s="57"/>
      <c r="P11" s="276"/>
      <c r="Q11" s="101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132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276"/>
      <c r="Q12" s="102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276"/>
      <c r="Q13" s="103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276"/>
      <c r="Q14" s="10" t="s">
        <v>31</v>
      </c>
      <c r="R14" s="86">
        <v>52000</v>
      </c>
      <c r="S14" s="86"/>
      <c r="T14" s="86">
        <f>+R14+S14</f>
        <v>52000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276"/>
      <c r="Q15" s="100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52000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17977</v>
      </c>
      <c r="D19" s="15">
        <v>0.14799999999999999</v>
      </c>
      <c r="E19" s="16">
        <v>314.541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16819.3</v>
      </c>
      <c r="D20" s="15">
        <v>0.14419999999999999</v>
      </c>
      <c r="E20" s="16">
        <v>256.23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1157.7000000000007</v>
      </c>
      <c r="D21" s="24">
        <f>+D19</f>
        <v>0.14799999999999999</v>
      </c>
      <c r="E21" s="132">
        <f>+E19-E20</f>
        <v>58.310999999999979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1157.7000000000007</v>
      </c>
      <c r="D23" s="33">
        <f>+D21*D22</f>
        <v>296</v>
      </c>
      <c r="E23" s="33">
        <f>+E22*E21</f>
        <v>116621.99999999996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9.5" customHeight="1" x14ac:dyDescent="0.25">
      <c r="A24" s="156"/>
      <c r="B24" s="90" t="s">
        <v>61</v>
      </c>
      <c r="C24" s="71"/>
      <c r="D24" s="33">
        <v>0</v>
      </c>
      <c r="E24" s="50">
        <f>+O12+J12+J13+O13+J16</f>
        <v>52000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1157.7000000000007</v>
      </c>
      <c r="D25" s="76">
        <f>+D23</f>
        <v>296</v>
      </c>
      <c r="E25" s="77">
        <f>E23-E24</f>
        <v>64621.999999999956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/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(F33+F34+O22+O23+F35+F38+O20)*9/100</f>
        <v>38427.145199999977</v>
      </c>
      <c r="P28" s="160"/>
      <c r="Q28" s="69">
        <v>38385.47</v>
      </c>
      <c r="R28" s="154">
        <f>+O28-Q28</f>
        <v>41.67519999997603</v>
      </c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345</v>
      </c>
      <c r="F29" s="213">
        <f>+D29*E29</f>
        <v>111780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/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10400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+T41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9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3" ht="18.75" customHeight="1" x14ac:dyDescent="0.25">
      <c r="A33" s="156"/>
      <c r="B33" s="211" t="s">
        <v>77</v>
      </c>
      <c r="C33" s="212"/>
      <c r="D33" s="109">
        <f>E25-C25</f>
        <v>63464.299999999959</v>
      </c>
      <c r="E33" s="34">
        <v>6.6</v>
      </c>
      <c r="F33" s="229">
        <f t="shared" si="2"/>
        <v>418864.37999999971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3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128"/>
      <c r="S34" s="136"/>
      <c r="T34" s="128"/>
      <c r="U34" s="128"/>
      <c r="V34" s="128"/>
    </row>
    <row r="35" spans="1:23" ht="18.75" customHeight="1" x14ac:dyDescent="0.25">
      <c r="A35" s="156"/>
      <c r="B35" s="211" t="s">
        <v>129</v>
      </c>
      <c r="C35" s="212"/>
      <c r="D35" s="34">
        <f>+C25</f>
        <v>1157.7000000000007</v>
      </c>
      <c r="E35" s="34">
        <v>7</v>
      </c>
      <c r="F35" s="229">
        <f t="shared" si="2"/>
        <v>8103.9000000000051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128"/>
      <c r="S35" s="136"/>
      <c r="T35" s="128"/>
      <c r="U35" s="128"/>
      <c r="V35" s="128"/>
    </row>
    <row r="36" spans="1:23" ht="18.75" customHeight="1" x14ac:dyDescent="0.25">
      <c r="A36" s="156"/>
      <c r="B36" s="211" t="s">
        <v>150</v>
      </c>
      <c r="C36" s="212"/>
      <c r="D36" s="34">
        <f>D35</f>
        <v>1157.7000000000007</v>
      </c>
      <c r="E36" s="34">
        <v>0.36</v>
      </c>
      <c r="F36" s="229">
        <f>D36*0.36</f>
        <v>416.77200000000022</v>
      </c>
      <c r="G36" s="230"/>
      <c r="H36" s="141"/>
      <c r="I36" s="142"/>
      <c r="J36" s="142"/>
      <c r="K36" s="142"/>
      <c r="L36" s="142"/>
      <c r="M36" s="142"/>
      <c r="N36" s="143"/>
      <c r="O36" s="75"/>
      <c r="P36" s="160"/>
      <c r="R36" t="s">
        <v>155</v>
      </c>
      <c r="S36" s="136"/>
      <c r="T36" s="128"/>
      <c r="U36" s="128"/>
      <c r="V36" s="128"/>
    </row>
    <row r="37" spans="1:23" ht="18.75" customHeight="1" x14ac:dyDescent="0.25">
      <c r="A37" s="156"/>
      <c r="B37" s="286" t="s">
        <v>151</v>
      </c>
      <c r="C37" s="287"/>
      <c r="D37" s="34">
        <f>D36</f>
        <v>1157.7000000000007</v>
      </c>
      <c r="E37" s="34">
        <v>0.36</v>
      </c>
      <c r="F37" s="229">
        <f>D37*0.36</f>
        <v>416.77200000000022</v>
      </c>
      <c r="G37" s="230"/>
      <c r="H37" s="141"/>
      <c r="I37" s="142"/>
      <c r="J37" s="142"/>
      <c r="K37" s="142"/>
      <c r="L37" s="142"/>
      <c r="M37" s="142"/>
      <c r="N37" s="143"/>
      <c r="O37" s="75"/>
      <c r="P37" s="160"/>
      <c r="R37" s="128"/>
      <c r="S37" s="136"/>
      <c r="T37" s="128"/>
      <c r="U37" s="128"/>
      <c r="V37" s="128"/>
    </row>
    <row r="38" spans="1:23" ht="27.75" customHeight="1" x14ac:dyDescent="0.25">
      <c r="A38" s="156"/>
      <c r="B38" s="211" t="s">
        <v>130</v>
      </c>
      <c r="C38" s="212"/>
      <c r="D38" s="37"/>
      <c r="E38" s="34"/>
      <c r="F38" s="229">
        <f t="shared" si="2"/>
        <v>0</v>
      </c>
      <c r="G38" s="230"/>
      <c r="H38" s="242" t="s">
        <v>81</v>
      </c>
      <c r="I38" s="243"/>
      <c r="J38" s="243"/>
      <c r="K38" s="243"/>
      <c r="L38" s="243"/>
      <c r="M38" s="243"/>
      <c r="N38" s="244"/>
      <c r="O38" s="69">
        <f>+O28+O29+O30+O31+O32+O33+O34</f>
        <v>48827.145199999977</v>
      </c>
      <c r="P38" s="160"/>
      <c r="R38" s="152" t="s">
        <v>156</v>
      </c>
      <c r="S38" s="152" t="s">
        <v>157</v>
      </c>
      <c r="T38" s="128" t="s">
        <v>158</v>
      </c>
      <c r="U38" s="153" t="s">
        <v>82</v>
      </c>
      <c r="V38" s="153" t="s">
        <v>159</v>
      </c>
      <c r="W38" t="s">
        <v>161</v>
      </c>
    </row>
    <row r="39" spans="1:23" ht="18.75" customHeight="1" x14ac:dyDescent="0.25">
      <c r="A39" s="156"/>
      <c r="B39" s="211" t="s">
        <v>82</v>
      </c>
      <c r="C39" s="212"/>
      <c r="D39" s="50">
        <f>E25-C25</f>
        <v>63464.299999999959</v>
      </c>
      <c r="E39" s="34">
        <v>0.36</v>
      </c>
      <c r="F39" s="229">
        <f t="shared" si="2"/>
        <v>22847.147999999983</v>
      </c>
      <c r="G39" s="230"/>
      <c r="H39" s="215" t="s">
        <v>83</v>
      </c>
      <c r="I39" s="216"/>
      <c r="J39" s="216"/>
      <c r="K39" s="216"/>
      <c r="L39" s="216"/>
      <c r="M39" s="216"/>
      <c r="N39" s="217"/>
      <c r="O39" s="75">
        <v>0</v>
      </c>
      <c r="P39" s="160"/>
      <c r="R39" s="135">
        <v>15080</v>
      </c>
      <c r="S39" s="128">
        <v>8104</v>
      </c>
      <c r="T39" s="128">
        <f>1157.7*9/100</f>
        <v>104.19300000000001</v>
      </c>
      <c r="U39" s="128">
        <f>1157.7*0.3</f>
        <v>347.31</v>
      </c>
      <c r="V39" s="128">
        <f>1157.7*0.36</f>
        <v>416.77199999999999</v>
      </c>
      <c r="W39">
        <f>R39+S39+T39+U39+V39</f>
        <v>24052.275000000001</v>
      </c>
    </row>
    <row r="40" spans="1:23" ht="18.75" customHeight="1" x14ac:dyDescent="0.25">
      <c r="A40" s="156"/>
      <c r="B40" s="279" t="s">
        <v>148</v>
      </c>
      <c r="C40" s="280"/>
      <c r="D40" s="129">
        <f>E25-C25</f>
        <v>63464.299999999959</v>
      </c>
      <c r="E40" s="130">
        <v>0.36</v>
      </c>
      <c r="F40" s="284">
        <f>D40*E40</f>
        <v>22847.147999999983</v>
      </c>
      <c r="G40" s="285"/>
      <c r="H40" s="281"/>
      <c r="I40" s="282"/>
      <c r="J40" s="282"/>
      <c r="K40" s="282"/>
      <c r="L40" s="282"/>
      <c r="M40" s="282"/>
      <c r="N40" s="283"/>
      <c r="O40" s="75"/>
      <c r="P40" s="160"/>
      <c r="R40" s="135"/>
      <c r="S40" s="128"/>
      <c r="T40" s="128"/>
      <c r="U40" s="128"/>
      <c r="V40" s="128"/>
    </row>
    <row r="41" spans="1:23" s="39" customFormat="1" ht="18.75" customHeight="1" x14ac:dyDescent="0.25">
      <c r="A41" s="156"/>
      <c r="B41" s="234" t="s">
        <v>131</v>
      </c>
      <c r="C41" s="235"/>
      <c r="D41" s="83"/>
      <c r="E41" s="38"/>
      <c r="F41" s="229">
        <v>0</v>
      </c>
      <c r="G41" s="230"/>
      <c r="H41" s="236" t="s">
        <v>132</v>
      </c>
      <c r="I41" s="237"/>
      <c r="J41" s="237"/>
      <c r="K41" s="237"/>
      <c r="L41" s="237"/>
      <c r="M41" s="237"/>
      <c r="N41" s="238"/>
      <c r="O41" s="69">
        <v>0</v>
      </c>
      <c r="P41" s="160"/>
      <c r="Q41" s="2"/>
      <c r="R41" s="136"/>
      <c r="S41" s="137"/>
      <c r="T41" s="128"/>
      <c r="U41" s="138"/>
      <c r="V41" s="138"/>
    </row>
    <row r="42" spans="1:23" ht="18.75" customHeight="1" x14ac:dyDescent="0.25">
      <c r="A42" s="156"/>
      <c r="B42" s="211" t="s">
        <v>85</v>
      </c>
      <c r="C42" s="212"/>
      <c r="D42" s="35"/>
      <c r="E42" s="25"/>
      <c r="F42" s="229">
        <f>+O25</f>
        <v>0</v>
      </c>
      <c r="G42" s="230"/>
      <c r="H42" s="226" t="s">
        <v>86</v>
      </c>
      <c r="I42" s="227"/>
      <c r="J42" s="227"/>
      <c r="K42" s="227"/>
      <c r="L42" s="227"/>
      <c r="M42" s="227"/>
      <c r="N42" s="228"/>
      <c r="O42" s="69">
        <f>+O39+O41</f>
        <v>0</v>
      </c>
      <c r="P42" s="160"/>
      <c r="Q42" s="81"/>
      <c r="R42" s="139"/>
      <c r="S42" s="138"/>
      <c r="T42" s="138"/>
      <c r="U42" s="128"/>
      <c r="V42" s="128">
        <f>649183-24052.275</f>
        <v>625130.72499999998</v>
      </c>
    </row>
    <row r="43" spans="1:23" ht="28.5" customHeight="1" x14ac:dyDescent="0.25">
      <c r="A43" s="156"/>
      <c r="B43" s="211" t="s">
        <v>87</v>
      </c>
      <c r="C43" s="212"/>
      <c r="D43" s="25"/>
      <c r="E43" s="25"/>
      <c r="F43" s="213">
        <v>0</v>
      </c>
      <c r="G43" s="214"/>
      <c r="H43" s="226" t="s">
        <v>88</v>
      </c>
      <c r="I43" s="227"/>
      <c r="J43" s="227"/>
      <c r="K43" s="227"/>
      <c r="L43" s="227"/>
      <c r="M43" s="227"/>
      <c r="N43" s="228"/>
      <c r="O43" s="69">
        <f>+F29+F30+F31+F32+F33+F34+F35+F38+F39+F41+F42+F43+F44+F45+F46+F47+F48+F49+F50+F51+F52+F53+F54+O38+F40+F36+F37</f>
        <v>649183.26519999956</v>
      </c>
      <c r="P43" s="160"/>
      <c r="Q43" s="2"/>
      <c r="R43" s="136"/>
      <c r="S43" s="128"/>
      <c r="T43" s="128"/>
      <c r="U43" s="128"/>
      <c r="V43" s="128"/>
    </row>
    <row r="44" spans="1:23" ht="18.75" customHeight="1" x14ac:dyDescent="0.25">
      <c r="A44" s="156"/>
      <c r="B44" s="218" t="s">
        <v>89</v>
      </c>
      <c r="C44" s="219"/>
      <c r="D44" s="25"/>
      <c r="E44" s="25"/>
      <c r="F44" s="213">
        <v>0</v>
      </c>
      <c r="G44" s="214"/>
      <c r="H44" s="226" t="s">
        <v>90</v>
      </c>
      <c r="I44" s="227"/>
      <c r="J44" s="227"/>
      <c r="K44" s="227"/>
      <c r="L44" s="227"/>
      <c r="M44" s="227"/>
      <c r="N44" s="228"/>
      <c r="O44" s="75" t="s">
        <v>68</v>
      </c>
      <c r="P44" s="160"/>
      <c r="R44" s="128"/>
      <c r="S44" s="128"/>
      <c r="T44" s="128"/>
      <c r="U44" s="128"/>
      <c r="V44" s="128"/>
    </row>
    <row r="45" spans="1:23" ht="18.75" customHeight="1" x14ac:dyDescent="0.25">
      <c r="A45" s="156"/>
      <c r="B45" s="211" t="s">
        <v>91</v>
      </c>
      <c r="C45" s="212"/>
      <c r="D45" s="25"/>
      <c r="E45" s="25"/>
      <c r="F45" s="213">
        <v>0</v>
      </c>
      <c r="G45" s="214"/>
      <c r="H45" s="224"/>
      <c r="I45" s="245"/>
      <c r="J45" s="245"/>
      <c r="K45" s="245"/>
      <c r="L45" s="245"/>
      <c r="M45" s="245"/>
      <c r="N45" s="225"/>
      <c r="O45" s="75"/>
      <c r="P45" s="160"/>
      <c r="R45" s="128"/>
      <c r="S45" s="128"/>
      <c r="T45" s="128"/>
      <c r="U45" s="128"/>
      <c r="V45" s="128"/>
    </row>
    <row r="46" spans="1:23" ht="18.75" customHeight="1" x14ac:dyDescent="0.25">
      <c r="A46" s="156"/>
      <c r="B46" s="218" t="s">
        <v>133</v>
      </c>
      <c r="C46" s="219"/>
      <c r="D46" s="25"/>
      <c r="E46" s="25"/>
      <c r="F46" s="213">
        <v>0</v>
      </c>
      <c r="G46" s="214"/>
      <c r="H46" s="215" t="s">
        <v>92</v>
      </c>
      <c r="I46" s="216"/>
      <c r="J46" s="216"/>
      <c r="K46" s="216"/>
      <c r="L46" s="216"/>
      <c r="M46" s="216"/>
      <c r="N46" s="217"/>
      <c r="O46" s="2">
        <v>0</v>
      </c>
      <c r="P46" s="160"/>
      <c r="R46" s="128"/>
      <c r="S46" s="128"/>
      <c r="T46" s="128"/>
      <c r="U46" s="128"/>
      <c r="V46" s="128"/>
    </row>
    <row r="47" spans="1:23" ht="21" customHeight="1" x14ac:dyDescent="0.25">
      <c r="A47" s="156"/>
      <c r="B47" s="218" t="s">
        <v>134</v>
      </c>
      <c r="C47" s="219"/>
      <c r="D47" s="33">
        <f>+J13</f>
        <v>0</v>
      </c>
      <c r="E47" s="33">
        <v>1.92</v>
      </c>
      <c r="F47" s="213">
        <f>+D47*E47</f>
        <v>0</v>
      </c>
      <c r="G47" s="214"/>
      <c r="H47" s="215" t="s">
        <v>84</v>
      </c>
      <c r="I47" s="216"/>
      <c r="J47" s="216"/>
      <c r="K47" s="216"/>
      <c r="L47" s="216"/>
      <c r="M47" s="216"/>
      <c r="N47" s="217"/>
      <c r="O47" s="69">
        <v>0</v>
      </c>
      <c r="P47" s="160"/>
      <c r="R47" s="128"/>
      <c r="S47" s="128"/>
      <c r="T47" s="128"/>
      <c r="U47" s="128"/>
      <c r="V47" s="128"/>
    </row>
    <row r="48" spans="1:23" ht="29.25" customHeight="1" x14ac:dyDescent="0.25">
      <c r="A48" s="156"/>
      <c r="B48" s="218" t="s">
        <v>135</v>
      </c>
      <c r="C48" s="219"/>
      <c r="D48" s="33">
        <f>+O13</f>
        <v>0</v>
      </c>
      <c r="E48" s="33">
        <v>1.92</v>
      </c>
      <c r="F48" s="246">
        <f>+D48*E48</f>
        <v>0</v>
      </c>
      <c r="G48" s="247"/>
      <c r="H48" s="215" t="s">
        <v>93</v>
      </c>
      <c r="I48" s="216"/>
      <c r="J48" s="216"/>
      <c r="K48" s="216"/>
      <c r="L48" s="216"/>
      <c r="M48" s="216"/>
      <c r="N48" s="217"/>
      <c r="O48" s="69">
        <v>126.35</v>
      </c>
      <c r="P48" s="160"/>
      <c r="Q48" s="84"/>
      <c r="R48" s="136"/>
      <c r="S48" s="128"/>
      <c r="T48" s="128"/>
      <c r="U48" s="128"/>
      <c r="V48" s="128"/>
    </row>
    <row r="49" spans="1:22" ht="18.75" customHeight="1" x14ac:dyDescent="0.25">
      <c r="A49" s="156"/>
      <c r="B49" s="218" t="s">
        <v>94</v>
      </c>
      <c r="C49" s="219"/>
      <c r="D49" s="33">
        <f>+J13</f>
        <v>0</v>
      </c>
      <c r="E49" s="34">
        <v>1.37</v>
      </c>
      <c r="F49" s="213">
        <f>+D49*E49</f>
        <v>0</v>
      </c>
      <c r="G49" s="214"/>
      <c r="H49" s="215" t="s">
        <v>95</v>
      </c>
      <c r="I49" s="216"/>
      <c r="J49" s="216"/>
      <c r="K49" s="216"/>
      <c r="L49" s="216"/>
      <c r="M49" s="216"/>
      <c r="N49" s="217"/>
      <c r="O49" s="69">
        <v>0</v>
      </c>
      <c r="P49" s="160"/>
      <c r="R49" s="136"/>
      <c r="S49" s="140"/>
      <c r="T49" s="136"/>
      <c r="U49" s="128"/>
      <c r="V49" s="128"/>
    </row>
    <row r="50" spans="1:22" ht="29.25" customHeight="1" x14ac:dyDescent="0.25">
      <c r="A50" s="156"/>
      <c r="B50" s="218" t="s">
        <v>96</v>
      </c>
      <c r="C50" s="219"/>
      <c r="D50" s="33">
        <f>+O12+O13</f>
        <v>0</v>
      </c>
      <c r="E50" s="34">
        <v>0.82</v>
      </c>
      <c r="F50" s="246">
        <f>+D50*E50</f>
        <v>0</v>
      </c>
      <c r="G50" s="247"/>
      <c r="H50" s="226" t="s">
        <v>97</v>
      </c>
      <c r="I50" s="227"/>
      <c r="J50" s="227"/>
      <c r="K50" s="227"/>
      <c r="L50" s="227"/>
      <c r="M50" s="227"/>
      <c r="N50" s="228"/>
      <c r="O50" s="69">
        <f>+O45+O46+O47+O48+O49</f>
        <v>126.35</v>
      </c>
      <c r="P50" s="160"/>
      <c r="R50" s="136"/>
      <c r="S50" s="136"/>
      <c r="T50" s="128"/>
      <c r="U50" s="128"/>
      <c r="V50" s="128"/>
    </row>
    <row r="51" spans="1:22" ht="18.75" customHeight="1" x14ac:dyDescent="0.25">
      <c r="A51" s="156"/>
      <c r="B51" s="218" t="s">
        <v>98</v>
      </c>
      <c r="C51" s="219"/>
      <c r="D51" s="33">
        <f>+O16</f>
        <v>0</v>
      </c>
      <c r="E51" s="34">
        <v>-1.9</v>
      </c>
      <c r="F51" s="246">
        <f>+D51*E51</f>
        <v>0</v>
      </c>
      <c r="G51" s="247"/>
      <c r="H51" s="226" t="s">
        <v>99</v>
      </c>
      <c r="I51" s="227"/>
      <c r="J51" s="227"/>
      <c r="K51" s="227"/>
      <c r="L51" s="227"/>
      <c r="M51" s="227"/>
      <c r="N51" s="228"/>
      <c r="O51" s="85">
        <f>+O50+O43</f>
        <v>649309.61519999953</v>
      </c>
      <c r="P51" s="160"/>
      <c r="Q51" s="2"/>
      <c r="R51" s="2"/>
      <c r="S51" s="2"/>
      <c r="U51" s="2"/>
      <c r="V51" s="2"/>
    </row>
    <row r="52" spans="1:22" ht="18.75" customHeight="1" x14ac:dyDescent="0.25">
      <c r="A52" s="156"/>
      <c r="B52" s="174" t="s">
        <v>100</v>
      </c>
      <c r="C52" s="175"/>
      <c r="D52" s="40"/>
      <c r="E52" s="132">
        <v>0</v>
      </c>
      <c r="F52" s="213">
        <v>0</v>
      </c>
      <c r="G52" s="214"/>
      <c r="H52" s="226" t="s">
        <v>101</v>
      </c>
      <c r="I52" s="227"/>
      <c r="J52" s="227"/>
      <c r="K52" s="227"/>
      <c r="L52" s="227"/>
      <c r="M52" s="227"/>
      <c r="N52" s="228"/>
      <c r="O52" s="85">
        <f>+O51</f>
        <v>649309.61519999953</v>
      </c>
      <c r="P52" s="160"/>
      <c r="Q52" s="2">
        <v>634188</v>
      </c>
      <c r="R52" s="2">
        <f>+O52-Q52</f>
        <v>15121.615199999535</v>
      </c>
      <c r="S52" s="2">
        <f>+F54-R52</f>
        <v>-41.615199999536344</v>
      </c>
      <c r="T52" s="2"/>
      <c r="U52" s="2"/>
      <c r="V52" s="2"/>
    </row>
    <row r="53" spans="1:22" ht="27.75" customHeight="1" x14ac:dyDescent="0.25">
      <c r="A53" s="156"/>
      <c r="B53" s="183" t="s">
        <v>136</v>
      </c>
      <c r="C53" s="184"/>
      <c r="D53" s="11"/>
      <c r="E53" s="11"/>
      <c r="F53" s="248">
        <v>0</v>
      </c>
      <c r="G53" s="248"/>
      <c r="H53" s="249"/>
      <c r="I53" s="249"/>
      <c r="J53" s="249"/>
      <c r="K53" s="249"/>
      <c r="L53" s="249"/>
      <c r="M53" s="249"/>
      <c r="N53" s="249"/>
      <c r="O53" s="92"/>
      <c r="P53" s="160"/>
      <c r="R53" s="2"/>
      <c r="S53" s="2"/>
      <c r="T53" s="2"/>
      <c r="U53" s="2"/>
      <c r="V53" s="288">
        <v>634188</v>
      </c>
    </row>
    <row r="54" spans="1:22" ht="18.75" customHeight="1" x14ac:dyDescent="0.25">
      <c r="A54" s="156"/>
      <c r="B54" s="174" t="s">
        <v>102</v>
      </c>
      <c r="C54" s="175"/>
      <c r="D54" s="42">
        <f>+J16</f>
        <v>52000</v>
      </c>
      <c r="E54" s="42">
        <v>0.28999999999999998</v>
      </c>
      <c r="F54" s="177">
        <f>+D54*E54</f>
        <v>15079.999999999998</v>
      </c>
      <c r="G54" s="178"/>
      <c r="H54" s="176"/>
      <c r="I54" s="176"/>
      <c r="J54" s="176"/>
      <c r="K54" s="176"/>
      <c r="L54" s="176"/>
      <c r="M54" s="176"/>
      <c r="N54" s="176"/>
      <c r="O54" s="92"/>
      <c r="P54" s="160"/>
      <c r="R54" s="2"/>
      <c r="S54" s="2"/>
      <c r="T54" s="2"/>
    </row>
    <row r="55" spans="1:22" ht="18.75" customHeight="1" x14ac:dyDescent="0.25">
      <c r="A55" s="156"/>
      <c r="B55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Six Hundred Forty-Nine Thousand Three Hundred Ten</v>
      </c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8"/>
      <c r="P55" s="160"/>
      <c r="Q55" s="2"/>
      <c r="R55" s="2"/>
      <c r="S55" s="2"/>
    </row>
    <row r="56" spans="1:22" ht="18.75" customHeight="1" x14ac:dyDescent="0.25">
      <c r="A56" s="156"/>
      <c r="B56" s="174" t="s">
        <v>103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69"/>
      <c r="P56" s="160"/>
      <c r="Q56" s="2"/>
      <c r="R56" s="2"/>
    </row>
    <row r="57" spans="1:22" ht="18.75" customHeight="1" x14ac:dyDescent="0.25">
      <c r="A57" s="156"/>
      <c r="B57" s="174" t="s">
        <v>104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69"/>
      <c r="P57" s="160"/>
    </row>
    <row r="58" spans="1:22" ht="18.75" customHeight="1" thickBot="1" x14ac:dyDescent="0.3">
      <c r="A58" s="156"/>
      <c r="B58" s="258" t="s">
        <v>105</v>
      </c>
      <c r="C58" s="259"/>
      <c r="D58" s="270"/>
      <c r="E58" s="13" t="s">
        <v>106</v>
      </c>
      <c r="F58" s="13">
        <v>0</v>
      </c>
      <c r="G58" s="13"/>
      <c r="H58" s="271" t="s">
        <v>107</v>
      </c>
      <c r="I58" s="270"/>
      <c r="J58" s="13">
        <v>0</v>
      </c>
      <c r="K58" s="44"/>
      <c r="L58" s="44"/>
      <c r="M58" s="44"/>
      <c r="N58" s="272"/>
      <c r="O58" s="273"/>
      <c r="P58" s="160"/>
    </row>
    <row r="59" spans="1:22" ht="18.75" customHeight="1" thickBot="1" x14ac:dyDescent="0.3">
      <c r="A59" s="156"/>
      <c r="B59" s="250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160"/>
    </row>
    <row r="60" spans="1:22" ht="21" customHeight="1" x14ac:dyDescent="0.25">
      <c r="A60" s="156"/>
      <c r="B60" s="252" t="s">
        <v>108</v>
      </c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4"/>
      <c r="P60" s="160"/>
      <c r="Q60" s="2"/>
      <c r="R60" s="2"/>
    </row>
    <row r="61" spans="1:22" ht="25.5" customHeight="1" x14ac:dyDescent="0.25">
      <c r="A61" s="156"/>
      <c r="B61" s="255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7"/>
      <c r="P61" s="160"/>
      <c r="Q61" s="2"/>
    </row>
    <row r="62" spans="1:22" ht="18" customHeight="1" thickBot="1" x14ac:dyDescent="0.3">
      <c r="A62" s="156"/>
      <c r="B62" s="258" t="s">
        <v>109</v>
      </c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60"/>
      <c r="P62" s="160"/>
      <c r="Q62" s="2"/>
    </row>
    <row r="63" spans="1:22" x14ac:dyDescent="0.25">
      <c r="A63" s="156"/>
      <c r="B63" s="261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160"/>
    </row>
    <row r="64" spans="1:22" ht="18" customHeight="1" x14ac:dyDescent="0.25">
      <c r="A64" s="156"/>
      <c r="B64" s="263"/>
      <c r="C64" s="264"/>
      <c r="D64" s="265" t="s">
        <v>110</v>
      </c>
      <c r="E64" s="265"/>
      <c r="F64" s="265"/>
      <c r="G64" s="265"/>
      <c r="H64" s="265"/>
      <c r="I64" s="45"/>
      <c r="J64" s="45"/>
      <c r="K64" s="134"/>
      <c r="L64" s="134"/>
      <c r="M64" s="134"/>
      <c r="N64" s="134"/>
      <c r="O64" s="134"/>
      <c r="P64" s="160"/>
    </row>
    <row r="65" spans="1:16" ht="18" customHeight="1" x14ac:dyDescent="0.25">
      <c r="A65" s="156"/>
      <c r="B65" s="133"/>
      <c r="C65" s="134"/>
      <c r="D65" s="274" t="s">
        <v>111</v>
      </c>
      <c r="E65" s="274"/>
      <c r="F65" s="274" t="s">
        <v>112</v>
      </c>
      <c r="G65" s="274"/>
      <c r="H65" s="274"/>
      <c r="I65" s="134"/>
      <c r="J65" s="134"/>
      <c r="K65" s="134"/>
      <c r="L65" s="134"/>
      <c r="M65" s="134"/>
      <c r="N65" s="134"/>
      <c r="O65" s="134"/>
      <c r="P65" s="160"/>
    </row>
    <row r="66" spans="1:16" ht="18" customHeight="1" x14ac:dyDescent="0.25">
      <c r="A66" s="156"/>
      <c r="B66" s="133"/>
      <c r="C66" s="134"/>
      <c r="D66" s="274" t="s">
        <v>113</v>
      </c>
      <c r="E66" s="274"/>
      <c r="F66" s="274" t="s">
        <v>137</v>
      </c>
      <c r="G66" s="274"/>
      <c r="H66" s="274"/>
      <c r="I66" s="134"/>
      <c r="J66" s="134"/>
      <c r="K66" s="134"/>
      <c r="L66" s="134"/>
      <c r="M66" s="134"/>
      <c r="N66" s="134"/>
      <c r="O66" s="134"/>
      <c r="P66" s="160"/>
    </row>
    <row r="67" spans="1:16" ht="18" customHeight="1" x14ac:dyDescent="0.25">
      <c r="A67" s="156"/>
      <c r="B67" s="133"/>
      <c r="C67" s="134"/>
      <c r="D67" s="274" t="s">
        <v>114</v>
      </c>
      <c r="E67" s="274"/>
      <c r="F67" s="274" t="s">
        <v>115</v>
      </c>
      <c r="G67" s="274"/>
      <c r="H67" s="274"/>
      <c r="I67" s="45"/>
      <c r="J67" s="134"/>
      <c r="K67" s="134"/>
      <c r="L67" s="134"/>
      <c r="M67" s="134"/>
      <c r="N67" s="134"/>
      <c r="O67" s="134"/>
      <c r="P67" s="160"/>
    </row>
    <row r="68" spans="1:16" ht="18" customHeight="1" x14ac:dyDescent="0.25">
      <c r="A68" s="156"/>
      <c r="B68" s="133"/>
      <c r="C68" s="134"/>
      <c r="D68" s="274" t="s">
        <v>116</v>
      </c>
      <c r="E68" s="274"/>
      <c r="F68" s="274" t="s">
        <v>117</v>
      </c>
      <c r="G68" s="274"/>
      <c r="H68" s="274"/>
      <c r="I68" s="45"/>
      <c r="J68" s="134"/>
      <c r="K68" s="134"/>
      <c r="L68" s="134"/>
      <c r="M68" s="134"/>
      <c r="N68" s="134"/>
      <c r="O68" s="134"/>
      <c r="P68" s="160"/>
    </row>
    <row r="69" spans="1:16" x14ac:dyDescent="0.25">
      <c r="A69" s="156"/>
      <c r="B69" s="133"/>
      <c r="C69" s="134"/>
      <c r="D69" s="274" t="s">
        <v>118</v>
      </c>
      <c r="E69" s="274"/>
      <c r="F69" s="274" t="s">
        <v>119</v>
      </c>
      <c r="G69" s="274"/>
      <c r="H69" s="274"/>
      <c r="I69" s="45"/>
      <c r="J69" s="134"/>
      <c r="K69" s="134"/>
      <c r="L69" s="134"/>
      <c r="M69" s="134"/>
      <c r="N69" s="134"/>
      <c r="O69" s="134"/>
      <c r="P69" s="160"/>
    </row>
    <row r="70" spans="1:16" x14ac:dyDescent="0.25">
      <c r="A70" s="156"/>
      <c r="B70" s="133"/>
      <c r="C70" s="134"/>
      <c r="D70" s="274" t="s">
        <v>120</v>
      </c>
      <c r="E70" s="274"/>
      <c r="F70" s="275">
        <f>+O52</f>
        <v>649309.61519999953</v>
      </c>
      <c r="G70" s="275"/>
      <c r="H70" s="275"/>
      <c r="I70" s="45"/>
      <c r="J70" s="134"/>
      <c r="K70" s="134"/>
      <c r="L70" s="134"/>
      <c r="M70" s="134"/>
      <c r="N70" s="134"/>
      <c r="O70" s="134"/>
      <c r="P70" s="160"/>
    </row>
    <row r="71" spans="1:16" ht="15.75" thickBot="1" x14ac:dyDescent="0.3">
      <c r="A71" s="15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161"/>
    </row>
  </sheetData>
  <mergeCells count="155">
    <mergeCell ref="A1:A71"/>
    <mergeCell ref="B1:O1"/>
    <mergeCell ref="P1:P71"/>
    <mergeCell ref="B2:B4"/>
    <mergeCell ref="C2:O2"/>
    <mergeCell ref="C3:O3"/>
    <mergeCell ref="C4:O4"/>
    <mergeCell ref="B5:O5"/>
    <mergeCell ref="D6:E6"/>
    <mergeCell ref="F6:G6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B11:E11"/>
    <mergeCell ref="F11:I11"/>
    <mergeCell ref="K11:N11"/>
    <mergeCell ref="B12:E12"/>
    <mergeCell ref="F12:I12"/>
    <mergeCell ref="K12:N12"/>
    <mergeCell ref="B8:O8"/>
    <mergeCell ref="B9:E9"/>
    <mergeCell ref="F9:I9"/>
    <mergeCell ref="K9:N9"/>
    <mergeCell ref="B10:E10"/>
    <mergeCell ref="F10:I10"/>
    <mergeCell ref="K10:N10"/>
    <mergeCell ref="B15:E15"/>
    <mergeCell ref="F15:I15"/>
    <mergeCell ref="K15:N15"/>
    <mergeCell ref="B16:E16"/>
    <mergeCell ref="F16:I16"/>
    <mergeCell ref="K16:N16"/>
    <mergeCell ref="B13:E13"/>
    <mergeCell ref="F13:I13"/>
    <mergeCell ref="K13:N13"/>
    <mergeCell ref="B14:E14"/>
    <mergeCell ref="F14:I14"/>
    <mergeCell ref="K14:N14"/>
    <mergeCell ref="B28:C28"/>
    <mergeCell ref="F28:G28"/>
    <mergeCell ref="H28:N28"/>
    <mergeCell ref="B29:C29"/>
    <mergeCell ref="F29:G29"/>
    <mergeCell ref="H29:N29"/>
    <mergeCell ref="Q16:S16"/>
    <mergeCell ref="B17:O17"/>
    <mergeCell ref="H18:O18"/>
    <mergeCell ref="B26:O26"/>
    <mergeCell ref="B27:G27"/>
    <mergeCell ref="H27:O27"/>
    <mergeCell ref="B32:C32"/>
    <mergeCell ref="F32:G32"/>
    <mergeCell ref="H32:N32"/>
    <mergeCell ref="B33:C33"/>
    <mergeCell ref="F33:G33"/>
    <mergeCell ref="H33:N33"/>
    <mergeCell ref="B30:C30"/>
    <mergeCell ref="F30:G30"/>
    <mergeCell ref="H30:N30"/>
    <mergeCell ref="B31:C31"/>
    <mergeCell ref="F31:G31"/>
    <mergeCell ref="H31:N31"/>
    <mergeCell ref="B38:C38"/>
    <mergeCell ref="F38:G38"/>
    <mergeCell ref="H38:N38"/>
    <mergeCell ref="B39:C39"/>
    <mergeCell ref="F39:G39"/>
    <mergeCell ref="H39:N39"/>
    <mergeCell ref="B34:C34"/>
    <mergeCell ref="F34:G34"/>
    <mergeCell ref="H34:N34"/>
    <mergeCell ref="B35:C35"/>
    <mergeCell ref="F35:G35"/>
    <mergeCell ref="H35:N35"/>
    <mergeCell ref="B36:C36"/>
    <mergeCell ref="B37:C37"/>
    <mergeCell ref="F36:G36"/>
    <mergeCell ref="F37:G37"/>
    <mergeCell ref="B42:C42"/>
    <mergeCell ref="F42:G42"/>
    <mergeCell ref="H42:N42"/>
    <mergeCell ref="B43:C43"/>
    <mergeCell ref="F43:G43"/>
    <mergeCell ref="H43:N43"/>
    <mergeCell ref="B40:C40"/>
    <mergeCell ref="F40:G40"/>
    <mergeCell ref="H40:N40"/>
    <mergeCell ref="B41:C41"/>
    <mergeCell ref="F41:G41"/>
    <mergeCell ref="H41:N41"/>
    <mergeCell ref="B46:C46"/>
    <mergeCell ref="F46:G46"/>
    <mergeCell ref="H46:N46"/>
    <mergeCell ref="B47:C47"/>
    <mergeCell ref="F47:G47"/>
    <mergeCell ref="H47:N47"/>
    <mergeCell ref="B44:C44"/>
    <mergeCell ref="F44:G44"/>
    <mergeCell ref="H44:N44"/>
    <mergeCell ref="B45:C45"/>
    <mergeCell ref="F45:G45"/>
    <mergeCell ref="H45:N45"/>
    <mergeCell ref="B50:C50"/>
    <mergeCell ref="F50:G50"/>
    <mergeCell ref="H50:N50"/>
    <mergeCell ref="B51:C51"/>
    <mergeCell ref="F51:G51"/>
    <mergeCell ref="H51:N51"/>
    <mergeCell ref="B48:C48"/>
    <mergeCell ref="F48:G48"/>
    <mergeCell ref="H48:N48"/>
    <mergeCell ref="B49:C49"/>
    <mergeCell ref="F49:G49"/>
    <mergeCell ref="H49:N49"/>
    <mergeCell ref="B54:C54"/>
    <mergeCell ref="F54:G54"/>
    <mergeCell ref="H54:N54"/>
    <mergeCell ref="B55:O55"/>
    <mergeCell ref="B56:O56"/>
    <mergeCell ref="B57:O57"/>
    <mergeCell ref="B52:C52"/>
    <mergeCell ref="F52:G52"/>
    <mergeCell ref="H52:N52"/>
    <mergeCell ref="B53:C53"/>
    <mergeCell ref="F53:G53"/>
    <mergeCell ref="H53:N53"/>
    <mergeCell ref="B62:O62"/>
    <mergeCell ref="B63:O63"/>
    <mergeCell ref="B64:C64"/>
    <mergeCell ref="D64:H64"/>
    <mergeCell ref="D65:E65"/>
    <mergeCell ref="F65:H65"/>
    <mergeCell ref="B58:D58"/>
    <mergeCell ref="H58:I58"/>
    <mergeCell ref="N58:O58"/>
    <mergeCell ref="B59:O59"/>
    <mergeCell ref="B60:O60"/>
    <mergeCell ref="B61:O61"/>
    <mergeCell ref="D69:E69"/>
    <mergeCell ref="F69:H69"/>
    <mergeCell ref="D70:E70"/>
    <mergeCell ref="F70:H70"/>
    <mergeCell ref="D66:E66"/>
    <mergeCell ref="F66:H66"/>
    <mergeCell ref="D67:E67"/>
    <mergeCell ref="F67:H67"/>
    <mergeCell ref="D68:E68"/>
    <mergeCell ref="F68:H68"/>
  </mergeCells>
  <pageMargins left="0.5" right="0.45" top="0.5" bottom="0.25" header="0.3" footer="0.3"/>
  <pageSetup paperSize="9" scale="59" orientation="portrait" r:id="rId1"/>
  <colBreaks count="1" manualBreakCount="1">
    <brk id="16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B7" zoomScaleNormal="100" workbookViewId="0">
      <selection activeCell="T28" sqref="T28"/>
    </sheetView>
  </sheetViews>
  <sheetFormatPr defaultRowHeight="15" x14ac:dyDescent="0.25"/>
  <cols>
    <col min="1" max="1" width="1.7109375" customWidth="1"/>
    <col min="2" max="2" width="18" customWidth="1"/>
    <col min="3" max="3" width="13.7109375" customWidth="1"/>
    <col min="4" max="4" width="11.5703125" customWidth="1"/>
    <col min="5" max="5" width="11.7109375" customWidth="1"/>
    <col min="6" max="6" width="9" customWidth="1"/>
    <col min="7" max="7" width="7.85546875" customWidth="1"/>
    <col min="9" max="9" width="8" customWidth="1"/>
    <col min="10" max="10" width="7.5703125" bestFit="1" customWidth="1"/>
    <col min="11" max="11" width="8.5703125" bestFit="1" customWidth="1"/>
    <col min="12" max="12" width="9.5703125" customWidth="1"/>
    <col min="13" max="13" width="13" customWidth="1"/>
    <col min="14" max="14" width="10.140625" customWidth="1"/>
    <col min="15" max="15" width="11.5703125" bestFit="1" customWidth="1"/>
    <col min="16" max="16" width="1.5703125" customWidth="1"/>
    <col min="17" max="17" width="11.140625" bestFit="1" customWidth="1"/>
    <col min="18" max="18" width="10.85546875" customWidth="1"/>
    <col min="19" max="19" width="11.7109375" customWidth="1"/>
    <col min="20" max="20" width="8" bestFit="1" customWidth="1"/>
    <col min="22" max="23" width="10" bestFit="1" customWidth="1"/>
    <col min="24" max="25" width="13.85546875" customWidth="1"/>
  </cols>
  <sheetData>
    <row r="1" spans="1:20" x14ac:dyDescent="0.25">
      <c r="A1" s="155"/>
      <c r="B1" s="155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9"/>
      <c r="P1" s="159"/>
    </row>
    <row r="2" spans="1:20" ht="18.75" customHeight="1" x14ac:dyDescent="0.25">
      <c r="A2" s="156"/>
      <c r="B2" s="162">
        <f>ROUND(O52,0)</f>
        <v>645827</v>
      </c>
      <c r="C2" s="165" t="s">
        <v>0</v>
      </c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6"/>
      <c r="P2" s="160"/>
    </row>
    <row r="3" spans="1:20" ht="18.75" customHeight="1" x14ac:dyDescent="0.25">
      <c r="A3" s="156"/>
      <c r="B3" s="163"/>
      <c r="C3" s="167" t="s">
        <v>1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  <c r="P3" s="160"/>
    </row>
    <row r="4" spans="1:20" ht="18.75" customHeight="1" thickBot="1" x14ac:dyDescent="0.3">
      <c r="A4" s="156"/>
      <c r="B4" s="164"/>
      <c r="C4" s="169" t="s">
        <v>126</v>
      </c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70"/>
      <c r="P4" s="160"/>
    </row>
    <row r="5" spans="1:20" ht="6.75" customHeight="1" thickBot="1" x14ac:dyDescent="0.3">
      <c r="A5" s="156"/>
      <c r="B5" s="157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60"/>
    </row>
    <row r="6" spans="1:20" ht="17.25" customHeight="1" x14ac:dyDescent="0.25">
      <c r="A6" s="156"/>
      <c r="B6" s="52" t="s">
        <v>2</v>
      </c>
      <c r="C6" s="53" t="s">
        <v>3</v>
      </c>
      <c r="D6" s="172" t="s">
        <v>4</v>
      </c>
      <c r="E6" s="173"/>
      <c r="F6" s="172" t="s">
        <v>5</v>
      </c>
      <c r="G6" s="173"/>
      <c r="H6" s="172" t="s">
        <v>6</v>
      </c>
      <c r="I6" s="173"/>
      <c r="J6" s="172" t="s">
        <v>7</v>
      </c>
      <c r="K6" s="173"/>
      <c r="L6" s="172" t="s">
        <v>8</v>
      </c>
      <c r="M6" s="173"/>
      <c r="N6" s="172" t="s">
        <v>9</v>
      </c>
      <c r="O6" s="179"/>
      <c r="P6" s="160"/>
    </row>
    <row r="7" spans="1:20" ht="28.5" customHeight="1" thickBot="1" x14ac:dyDescent="0.3">
      <c r="A7" s="156"/>
      <c r="B7" s="3" t="s">
        <v>121</v>
      </c>
      <c r="C7" s="150">
        <v>1700474</v>
      </c>
      <c r="D7" s="180" t="s">
        <v>162</v>
      </c>
      <c r="E7" s="180"/>
      <c r="F7" s="180">
        <v>1313199000280</v>
      </c>
      <c r="G7" s="180"/>
      <c r="H7" s="180" t="s">
        <v>149</v>
      </c>
      <c r="I7" s="180"/>
      <c r="J7" s="181">
        <v>45809</v>
      </c>
      <c r="K7" s="181"/>
      <c r="L7" s="181">
        <v>45823</v>
      </c>
      <c r="M7" s="181"/>
      <c r="N7" s="181">
        <v>45837</v>
      </c>
      <c r="O7" s="182"/>
      <c r="P7" s="160"/>
    </row>
    <row r="8" spans="1:20" ht="8.25" customHeight="1" thickBot="1" x14ac:dyDescent="0.3">
      <c r="A8" s="156"/>
      <c r="B8" s="189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60"/>
    </row>
    <row r="9" spans="1:20" ht="18.75" customHeight="1" thickBot="1" x14ac:dyDescent="0.3">
      <c r="A9" s="156"/>
      <c r="B9" s="192" t="s">
        <v>11</v>
      </c>
      <c r="C9" s="193"/>
      <c r="D9" s="193"/>
      <c r="E9" s="194"/>
      <c r="F9" s="195" t="s">
        <v>12</v>
      </c>
      <c r="G9" s="196"/>
      <c r="H9" s="196"/>
      <c r="I9" s="197"/>
      <c r="J9" s="54">
        <v>360</v>
      </c>
      <c r="K9" s="195" t="s">
        <v>13</v>
      </c>
      <c r="L9" s="196"/>
      <c r="M9" s="196"/>
      <c r="N9" s="197"/>
      <c r="O9" s="55">
        <f>+J9*90/100</f>
        <v>324</v>
      </c>
      <c r="P9" s="160"/>
    </row>
    <row r="10" spans="1:20" ht="18.75" customHeight="1" x14ac:dyDescent="0.25">
      <c r="A10" s="156"/>
      <c r="B10" s="198" t="s">
        <v>122</v>
      </c>
      <c r="C10" s="199"/>
      <c r="D10" s="199"/>
      <c r="E10" s="199"/>
      <c r="F10" s="185" t="s">
        <v>14</v>
      </c>
      <c r="G10" s="186"/>
      <c r="H10" s="186"/>
      <c r="I10" s="187"/>
      <c r="J10" s="5">
        <f>+D25</f>
        <v>296</v>
      </c>
      <c r="K10" s="185" t="s">
        <v>15</v>
      </c>
      <c r="L10" s="186"/>
      <c r="M10" s="186"/>
      <c r="N10" s="187"/>
      <c r="O10" s="56">
        <f>IF((O9&gt;J10),O9,J10)</f>
        <v>324</v>
      </c>
      <c r="P10" s="160"/>
      <c r="Q10" s="6"/>
      <c r="R10" s="6"/>
      <c r="S10" s="6"/>
      <c r="T10" s="7" t="s">
        <v>16</v>
      </c>
    </row>
    <row r="11" spans="1:20" ht="18.75" customHeight="1" x14ac:dyDescent="0.25">
      <c r="A11" s="156"/>
      <c r="B11" s="183" t="s">
        <v>123</v>
      </c>
      <c r="C11" s="184"/>
      <c r="D11" s="184"/>
      <c r="E11" s="184"/>
      <c r="F11" s="185" t="s">
        <v>17</v>
      </c>
      <c r="G11" s="186"/>
      <c r="H11" s="186"/>
      <c r="I11" s="187"/>
      <c r="J11" s="146" t="s">
        <v>18</v>
      </c>
      <c r="K11" s="185" t="s">
        <v>19</v>
      </c>
      <c r="L11" s="186"/>
      <c r="M11" s="186"/>
      <c r="N11" s="187"/>
      <c r="O11" s="57"/>
      <c r="P11" s="276"/>
      <c r="Q11" s="101" t="s">
        <v>20</v>
      </c>
      <c r="R11" s="8">
        <v>0</v>
      </c>
      <c r="S11" s="8">
        <v>0</v>
      </c>
      <c r="T11" s="8">
        <f>+R11-S11</f>
        <v>0</v>
      </c>
    </row>
    <row r="12" spans="1:20" ht="18.75" customHeight="1" x14ac:dyDescent="0.25">
      <c r="A12" s="156"/>
      <c r="B12" s="188" t="s">
        <v>124</v>
      </c>
      <c r="C12" s="186"/>
      <c r="D12" s="186"/>
      <c r="E12" s="187"/>
      <c r="F12" s="185" t="s">
        <v>21</v>
      </c>
      <c r="G12" s="186"/>
      <c r="H12" s="186"/>
      <c r="I12" s="187"/>
      <c r="J12" s="146">
        <f>+T15</f>
        <v>0</v>
      </c>
      <c r="K12" s="185" t="s">
        <v>22</v>
      </c>
      <c r="L12" s="186"/>
      <c r="M12" s="186"/>
      <c r="N12" s="187"/>
      <c r="O12" s="57">
        <f>+T12</f>
        <v>0</v>
      </c>
      <c r="P12" s="276"/>
      <c r="Q12" s="102" t="s">
        <v>23</v>
      </c>
      <c r="R12" s="9"/>
      <c r="S12" s="9"/>
      <c r="T12" s="9">
        <f>+R12+S12</f>
        <v>0</v>
      </c>
    </row>
    <row r="13" spans="1:20" ht="18.75" customHeight="1" x14ac:dyDescent="0.25">
      <c r="A13" s="156"/>
      <c r="B13" s="198"/>
      <c r="C13" s="199"/>
      <c r="D13" s="199"/>
      <c r="E13" s="199"/>
      <c r="F13" s="185" t="s">
        <v>25</v>
      </c>
      <c r="G13" s="186"/>
      <c r="H13" s="186"/>
      <c r="I13" s="187"/>
      <c r="J13" s="5">
        <f>+T11</f>
        <v>0</v>
      </c>
      <c r="K13" s="185" t="s">
        <v>26</v>
      </c>
      <c r="L13" s="186"/>
      <c r="M13" s="186"/>
      <c r="N13" s="187"/>
      <c r="O13" s="57">
        <f>+T13</f>
        <v>0</v>
      </c>
      <c r="P13" s="276"/>
      <c r="Q13" s="103" t="s">
        <v>27</v>
      </c>
      <c r="R13" s="10"/>
      <c r="S13" s="10">
        <v>0</v>
      </c>
      <c r="T13" s="10">
        <f>+R13+S13</f>
        <v>0</v>
      </c>
    </row>
    <row r="14" spans="1:20" ht="18.75" customHeight="1" x14ac:dyDescent="0.25">
      <c r="A14" s="156"/>
      <c r="B14" s="183" t="s">
        <v>125</v>
      </c>
      <c r="C14" s="184"/>
      <c r="D14" s="184"/>
      <c r="E14" s="184"/>
      <c r="F14" s="185" t="s">
        <v>28</v>
      </c>
      <c r="G14" s="186"/>
      <c r="H14" s="186"/>
      <c r="I14" s="187"/>
      <c r="J14" s="11"/>
      <c r="K14" s="185" t="s">
        <v>29</v>
      </c>
      <c r="L14" s="186"/>
      <c r="M14" s="186"/>
      <c r="N14" s="187"/>
      <c r="O14" s="61" t="s">
        <v>30</v>
      </c>
      <c r="P14" s="276"/>
      <c r="Q14" s="10" t="s">
        <v>31</v>
      </c>
      <c r="R14" s="86">
        <v>52000</v>
      </c>
      <c r="S14" s="86"/>
      <c r="T14" s="86">
        <f>+R14+S14</f>
        <v>52000</v>
      </c>
    </row>
    <row r="15" spans="1:20" ht="18.75" customHeight="1" x14ac:dyDescent="0.25">
      <c r="A15" s="156"/>
      <c r="B15" s="198" t="s">
        <v>24</v>
      </c>
      <c r="C15" s="199"/>
      <c r="D15" s="199"/>
      <c r="E15" s="199"/>
      <c r="F15" s="200" t="s">
        <v>32</v>
      </c>
      <c r="G15" s="201"/>
      <c r="H15" s="201"/>
      <c r="I15" s="175"/>
      <c r="J15" s="12"/>
      <c r="K15" s="185" t="s">
        <v>33</v>
      </c>
      <c r="L15" s="186"/>
      <c r="M15" s="186"/>
      <c r="N15" s="187"/>
      <c r="O15" s="64"/>
      <c r="P15" s="276"/>
      <c r="Q15" s="100" t="s">
        <v>34</v>
      </c>
      <c r="R15" s="63">
        <v>0</v>
      </c>
      <c r="S15" s="63">
        <v>0</v>
      </c>
      <c r="T15" s="63">
        <f>+R15+S15</f>
        <v>0</v>
      </c>
    </row>
    <row r="16" spans="1:20" ht="18.75" customHeight="1" thickBot="1" x14ac:dyDescent="0.3">
      <c r="A16" s="156"/>
      <c r="B16" s="204"/>
      <c r="C16" s="205"/>
      <c r="D16" s="205"/>
      <c r="E16" s="206"/>
      <c r="F16" s="207" t="s">
        <v>35</v>
      </c>
      <c r="G16" s="207"/>
      <c r="H16" s="207"/>
      <c r="I16" s="207"/>
      <c r="J16" s="13">
        <f>+T14</f>
        <v>52000</v>
      </c>
      <c r="K16" s="208" t="s">
        <v>36</v>
      </c>
      <c r="L16" s="209"/>
      <c r="M16" s="209"/>
      <c r="N16" s="210"/>
      <c r="O16" s="65">
        <v>0</v>
      </c>
      <c r="P16" s="160"/>
      <c r="Q16" s="202" t="s">
        <v>37</v>
      </c>
      <c r="R16" s="203"/>
      <c r="S16" s="203"/>
      <c r="T16" s="14">
        <f>+T15+T13+T12+T11</f>
        <v>0</v>
      </c>
    </row>
    <row r="17" spans="1:18" ht="15.75" thickBot="1" x14ac:dyDescent="0.3">
      <c r="A17" s="156"/>
      <c r="B17" s="189"/>
      <c r="C17" s="190"/>
      <c r="D17" s="190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60"/>
    </row>
    <row r="18" spans="1:18" ht="30" x14ac:dyDescent="0.25">
      <c r="A18" s="156"/>
      <c r="B18" s="66" t="s">
        <v>38</v>
      </c>
      <c r="C18" s="1" t="s">
        <v>127</v>
      </c>
      <c r="D18" s="1" t="s">
        <v>39</v>
      </c>
      <c r="E18" s="1" t="s">
        <v>40</v>
      </c>
      <c r="F18" s="1" t="s">
        <v>41</v>
      </c>
      <c r="G18" s="1" t="s">
        <v>42</v>
      </c>
      <c r="H18" s="172" t="s">
        <v>43</v>
      </c>
      <c r="I18" s="220"/>
      <c r="J18" s="220"/>
      <c r="K18" s="220"/>
      <c r="L18" s="220"/>
      <c r="M18" s="220"/>
      <c r="N18" s="220"/>
      <c r="O18" s="179"/>
      <c r="P18" s="160"/>
    </row>
    <row r="19" spans="1:18" ht="36" x14ac:dyDescent="0.25">
      <c r="A19" s="156"/>
      <c r="B19" s="88" t="s">
        <v>44</v>
      </c>
      <c r="C19" s="17">
        <v>17977</v>
      </c>
      <c r="D19" s="15">
        <v>0.14799999999999999</v>
      </c>
      <c r="E19" s="16">
        <v>314.541</v>
      </c>
      <c r="F19" s="16">
        <v>50.09</v>
      </c>
      <c r="G19" s="17">
        <v>0.9</v>
      </c>
      <c r="H19" s="18" t="s">
        <v>45</v>
      </c>
      <c r="I19" s="18" t="s">
        <v>46</v>
      </c>
      <c r="J19" s="18" t="s">
        <v>47</v>
      </c>
      <c r="K19" s="18" t="s">
        <v>48</v>
      </c>
      <c r="L19" s="18" t="s">
        <v>49</v>
      </c>
      <c r="M19" s="18" t="s">
        <v>50</v>
      </c>
      <c r="N19" s="18" t="s">
        <v>51</v>
      </c>
      <c r="O19" s="67" t="s">
        <v>52</v>
      </c>
      <c r="P19" s="160"/>
    </row>
    <row r="20" spans="1:18" ht="18.75" customHeight="1" x14ac:dyDescent="0.25">
      <c r="A20" s="156"/>
      <c r="B20" s="89" t="s">
        <v>53</v>
      </c>
      <c r="C20" s="17">
        <v>16819.3</v>
      </c>
      <c r="D20" s="15">
        <v>0.14419999999999999</v>
      </c>
      <c r="E20" s="16">
        <v>256.23</v>
      </c>
      <c r="F20" s="11"/>
      <c r="G20" s="19"/>
      <c r="H20" s="20" t="s">
        <v>54</v>
      </c>
      <c r="I20" s="68">
        <v>0</v>
      </c>
      <c r="J20" s="68">
        <v>0</v>
      </c>
      <c r="K20" s="21">
        <f>(J20-I20)*$E$22</f>
        <v>0</v>
      </c>
      <c r="L20" s="22">
        <v>0</v>
      </c>
      <c r="M20" s="22">
        <v>0</v>
      </c>
      <c r="N20" s="21">
        <v>0</v>
      </c>
      <c r="O20" s="69">
        <f>+(K20-L20-M20-N20)*0</f>
        <v>0</v>
      </c>
      <c r="P20" s="160"/>
    </row>
    <row r="21" spans="1:18" ht="18.75" customHeight="1" x14ac:dyDescent="0.25">
      <c r="A21" s="156"/>
      <c r="B21" s="89" t="s">
        <v>55</v>
      </c>
      <c r="C21" s="70">
        <f>+C19-C20</f>
        <v>1157.7000000000007</v>
      </c>
      <c r="D21" s="24">
        <f>+D19</f>
        <v>0.14799999999999999</v>
      </c>
      <c r="E21" s="146">
        <f>+E19-E20</f>
        <v>58.310999999999979</v>
      </c>
      <c r="F21" s="11"/>
      <c r="G21" s="19"/>
      <c r="H21" s="20" t="s">
        <v>56</v>
      </c>
      <c r="I21" s="68">
        <v>0</v>
      </c>
      <c r="J21" s="68">
        <v>0</v>
      </c>
      <c r="K21" s="21">
        <f t="shared" ref="K21:K23" si="0">(J21-I21)*$E$22</f>
        <v>0</v>
      </c>
      <c r="L21" s="22">
        <v>0</v>
      </c>
      <c r="M21" s="22">
        <v>0</v>
      </c>
      <c r="N21" s="21">
        <v>0</v>
      </c>
      <c r="O21" s="57">
        <v>0</v>
      </c>
      <c r="P21" s="160"/>
      <c r="R21" s="2"/>
    </row>
    <row r="22" spans="1:18" ht="18.75" customHeight="1" x14ac:dyDescent="0.25">
      <c r="A22" s="156"/>
      <c r="B22" s="90" t="s">
        <v>57</v>
      </c>
      <c r="C22" s="71">
        <v>1</v>
      </c>
      <c r="D22" s="33">
        <v>2000</v>
      </c>
      <c r="E22" s="33">
        <v>2000</v>
      </c>
      <c r="F22" s="25"/>
      <c r="G22" s="26"/>
      <c r="H22" s="27" t="s">
        <v>58</v>
      </c>
      <c r="I22" s="72">
        <v>0</v>
      </c>
      <c r="J22" s="72">
        <v>0</v>
      </c>
      <c r="K22" s="21">
        <f t="shared" si="0"/>
        <v>0</v>
      </c>
      <c r="L22" s="22">
        <v>0</v>
      </c>
      <c r="M22" s="22">
        <v>0</v>
      </c>
      <c r="N22" s="73">
        <v>0</v>
      </c>
      <c r="O22" s="69">
        <f>+(K22-L22-M22-N22)*0</f>
        <v>0</v>
      </c>
      <c r="P22" s="160"/>
      <c r="R22" s="2"/>
    </row>
    <row r="23" spans="1:18" ht="18.75" customHeight="1" x14ac:dyDescent="0.25">
      <c r="A23" s="156"/>
      <c r="B23" s="90" t="s">
        <v>59</v>
      </c>
      <c r="C23" s="74">
        <f>+C21*C22</f>
        <v>1157.7000000000007</v>
      </c>
      <c r="D23" s="33">
        <f>+D21*D22</f>
        <v>296</v>
      </c>
      <c r="E23" s="33">
        <f>+E22*E21</f>
        <v>116621.99999999996</v>
      </c>
      <c r="F23" s="25"/>
      <c r="G23" s="26"/>
      <c r="H23" s="27" t="s">
        <v>60</v>
      </c>
      <c r="I23" s="72">
        <v>0</v>
      </c>
      <c r="J23" s="72">
        <v>0</v>
      </c>
      <c r="K23" s="21">
        <f t="shared" si="0"/>
        <v>0</v>
      </c>
      <c r="L23" s="22">
        <v>0</v>
      </c>
      <c r="M23" s="22">
        <v>0</v>
      </c>
      <c r="N23" s="73">
        <v>0</v>
      </c>
      <c r="O23" s="69">
        <f>+(K23-L23-M23-N23)*0</f>
        <v>0</v>
      </c>
      <c r="P23" s="160"/>
      <c r="R23" s="2"/>
    </row>
    <row r="24" spans="1:18" ht="19.5" customHeight="1" x14ac:dyDescent="0.25">
      <c r="A24" s="156"/>
      <c r="B24" s="90" t="s">
        <v>61</v>
      </c>
      <c r="C24" s="71"/>
      <c r="D24" s="33">
        <v>0</v>
      </c>
      <c r="E24" s="50">
        <f>+O12+J12+J13+O13+J16</f>
        <v>52000</v>
      </c>
      <c r="F24" s="25"/>
      <c r="G24" s="28"/>
      <c r="H24" s="29"/>
      <c r="I24" s="29"/>
      <c r="J24" s="29"/>
      <c r="K24" s="29"/>
      <c r="L24" s="31"/>
      <c r="M24" s="29"/>
      <c r="N24" s="29"/>
      <c r="O24" s="75"/>
      <c r="P24" s="160"/>
      <c r="R24" s="2"/>
    </row>
    <row r="25" spans="1:18" ht="18.75" customHeight="1" thickBot="1" x14ac:dyDescent="0.3">
      <c r="A25" s="156"/>
      <c r="B25" s="91" t="s">
        <v>62</v>
      </c>
      <c r="C25" s="79">
        <f>+C23</f>
        <v>1157.7000000000007</v>
      </c>
      <c r="D25" s="76">
        <f>+D23</f>
        <v>296</v>
      </c>
      <c r="E25" s="77">
        <f>E23-E24</f>
        <v>64621.999999999956</v>
      </c>
      <c r="F25" s="76"/>
      <c r="G25" s="76"/>
      <c r="H25" s="78" t="s">
        <v>16</v>
      </c>
      <c r="I25" s="79">
        <f t="shared" ref="I25:N25" si="1">+I23+I22+I21+I20</f>
        <v>0</v>
      </c>
      <c r="J25" s="79">
        <f t="shared" si="1"/>
        <v>0</v>
      </c>
      <c r="K25" s="76">
        <f t="shared" si="1"/>
        <v>0</v>
      </c>
      <c r="L25" s="76">
        <f t="shared" si="1"/>
        <v>0</v>
      </c>
      <c r="M25" s="76">
        <f t="shared" si="1"/>
        <v>0</v>
      </c>
      <c r="N25" s="76">
        <f t="shared" si="1"/>
        <v>0</v>
      </c>
      <c r="O25" s="80">
        <f>+O20+O21+O22+O23</f>
        <v>0</v>
      </c>
      <c r="P25" s="160"/>
      <c r="R25" s="2"/>
    </row>
    <row r="26" spans="1:18" ht="15.75" thickBot="1" x14ac:dyDescent="0.3">
      <c r="A26" s="156"/>
      <c r="B26" s="221"/>
      <c r="C26" s="222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160"/>
    </row>
    <row r="27" spans="1:18" ht="18.75" customHeight="1" x14ac:dyDescent="0.25">
      <c r="A27" s="156"/>
      <c r="B27" s="223" t="s">
        <v>63</v>
      </c>
      <c r="C27" s="220"/>
      <c r="D27" s="220"/>
      <c r="E27" s="220"/>
      <c r="F27" s="220"/>
      <c r="G27" s="173"/>
      <c r="H27" s="172" t="s">
        <v>64</v>
      </c>
      <c r="I27" s="220"/>
      <c r="J27" s="220"/>
      <c r="K27" s="220"/>
      <c r="L27" s="220"/>
      <c r="M27" s="220"/>
      <c r="N27" s="220"/>
      <c r="O27" s="179"/>
      <c r="P27" s="160"/>
    </row>
    <row r="28" spans="1:18" ht="18.75" customHeight="1" x14ac:dyDescent="0.25">
      <c r="A28" s="156"/>
      <c r="B28" s="211" t="s">
        <v>65</v>
      </c>
      <c r="C28" s="212"/>
      <c r="D28" s="32" t="s">
        <v>66</v>
      </c>
      <c r="E28" s="32" t="s">
        <v>67</v>
      </c>
      <c r="F28" s="224" t="s">
        <v>68</v>
      </c>
      <c r="G28" s="225"/>
      <c r="H28" s="226" t="s">
        <v>69</v>
      </c>
      <c r="I28" s="227"/>
      <c r="J28" s="227"/>
      <c r="K28" s="227"/>
      <c r="L28" s="227"/>
      <c r="M28" s="227"/>
      <c r="N28" s="228"/>
      <c r="O28" s="69">
        <f>(F33+F34+O22+O23+F35+F38+O20)*9/100</f>
        <v>38427.145199999977</v>
      </c>
      <c r="P28" s="160"/>
    </row>
    <row r="29" spans="1:18" ht="18.75" customHeight="1" x14ac:dyDescent="0.25">
      <c r="A29" s="156"/>
      <c r="B29" s="211" t="s">
        <v>70</v>
      </c>
      <c r="C29" s="212"/>
      <c r="D29" s="50">
        <f>+O10</f>
        <v>324</v>
      </c>
      <c r="E29" s="33">
        <v>345</v>
      </c>
      <c r="F29" s="213">
        <f>+D29*E29</f>
        <v>111780</v>
      </c>
      <c r="G29" s="214"/>
      <c r="H29" s="215" t="s">
        <v>71</v>
      </c>
      <c r="I29" s="216"/>
      <c r="J29" s="216"/>
      <c r="K29" s="216"/>
      <c r="L29" s="216"/>
      <c r="M29" s="216"/>
      <c r="N29" s="217"/>
      <c r="O29" s="75">
        <v>0</v>
      </c>
      <c r="P29" s="160"/>
      <c r="Q29" s="2"/>
      <c r="R29" s="2"/>
    </row>
    <row r="30" spans="1:18" ht="18.75" customHeight="1" x14ac:dyDescent="0.25">
      <c r="A30" s="156"/>
      <c r="B30" s="218" t="s">
        <v>72</v>
      </c>
      <c r="C30" s="219"/>
      <c r="D30" s="35"/>
      <c r="E30" s="35"/>
      <c r="F30" s="213">
        <v>0</v>
      </c>
      <c r="G30" s="214"/>
      <c r="H30" s="215" t="s">
        <v>73</v>
      </c>
      <c r="I30" s="216"/>
      <c r="J30" s="216"/>
      <c r="K30" s="216"/>
      <c r="L30" s="216"/>
      <c r="M30" s="216"/>
      <c r="N30" s="217"/>
      <c r="O30" s="75">
        <f>(J12+J16)*0.2</f>
        <v>10400</v>
      </c>
      <c r="P30" s="160"/>
    </row>
    <row r="31" spans="1:18" ht="18.75" customHeight="1" x14ac:dyDescent="0.25">
      <c r="A31" s="156"/>
      <c r="B31" s="218" t="s">
        <v>74</v>
      </c>
      <c r="C31" s="219"/>
      <c r="D31" s="33">
        <v>0</v>
      </c>
      <c r="E31" s="33">
        <v>0</v>
      </c>
      <c r="F31" s="213">
        <v>0</v>
      </c>
      <c r="G31" s="214"/>
      <c r="H31" s="226" t="s">
        <v>75</v>
      </c>
      <c r="I31" s="227"/>
      <c r="J31" s="227"/>
      <c r="K31" s="227"/>
      <c r="L31" s="227"/>
      <c r="M31" s="227"/>
      <c r="N31" s="228"/>
      <c r="O31" s="69">
        <f>+T41</f>
        <v>0</v>
      </c>
      <c r="P31" s="160"/>
    </row>
    <row r="32" spans="1:18" ht="18.75" customHeight="1" x14ac:dyDescent="0.25">
      <c r="A32" s="156"/>
      <c r="B32" s="218" t="s">
        <v>128</v>
      </c>
      <c r="C32" s="219"/>
      <c r="D32" s="33"/>
      <c r="E32" s="33"/>
      <c r="F32" s="213">
        <f t="shared" ref="F32:F39" si="2">+D32*E32</f>
        <v>0</v>
      </c>
      <c r="G32" s="214"/>
      <c r="H32" s="215" t="s">
        <v>76</v>
      </c>
      <c r="I32" s="216"/>
      <c r="J32" s="216"/>
      <c r="K32" s="216"/>
      <c r="L32" s="216"/>
      <c r="M32" s="216"/>
      <c r="N32" s="217"/>
      <c r="O32" s="75"/>
      <c r="P32" s="160"/>
      <c r="Q32" s="2"/>
      <c r="R32" s="81"/>
    </row>
    <row r="33" spans="1:21" ht="18.75" customHeight="1" x14ac:dyDescent="0.25">
      <c r="A33" s="156"/>
      <c r="B33" s="211" t="s">
        <v>77</v>
      </c>
      <c r="C33" s="212"/>
      <c r="D33" s="109">
        <f>E25-C25</f>
        <v>63464.299999999959</v>
      </c>
      <c r="E33" s="34">
        <v>6.6</v>
      </c>
      <c r="F33" s="229">
        <f t="shared" si="2"/>
        <v>418864.37999999971</v>
      </c>
      <c r="G33" s="230"/>
      <c r="H33" s="231" t="s">
        <v>78</v>
      </c>
      <c r="I33" s="232"/>
      <c r="J33" s="232"/>
      <c r="K33" s="232"/>
      <c r="L33" s="232"/>
      <c r="M33" s="232"/>
      <c r="N33" s="233"/>
      <c r="O33" s="75">
        <v>0</v>
      </c>
      <c r="P33" s="160"/>
    </row>
    <row r="34" spans="1:21" ht="18.75" customHeight="1" x14ac:dyDescent="0.25">
      <c r="A34" s="156"/>
      <c r="B34" s="211" t="s">
        <v>79</v>
      </c>
      <c r="C34" s="212"/>
      <c r="D34" s="50"/>
      <c r="E34" s="33">
        <v>0</v>
      </c>
      <c r="F34" s="229">
        <f t="shared" si="2"/>
        <v>0</v>
      </c>
      <c r="G34" s="230"/>
      <c r="H34" s="231" t="s">
        <v>80</v>
      </c>
      <c r="I34" s="232"/>
      <c r="J34" s="232"/>
      <c r="K34" s="232"/>
      <c r="L34" s="232"/>
      <c r="M34" s="232"/>
      <c r="N34" s="233"/>
      <c r="O34" s="75">
        <v>0</v>
      </c>
      <c r="P34" s="160"/>
      <c r="R34" s="128"/>
      <c r="S34" s="136"/>
      <c r="T34" s="128"/>
      <c r="U34" s="128"/>
    </row>
    <row r="35" spans="1:21" ht="18.75" customHeight="1" x14ac:dyDescent="0.25">
      <c r="A35" s="156"/>
      <c r="B35" s="211" t="s">
        <v>129</v>
      </c>
      <c r="C35" s="212"/>
      <c r="D35" s="34">
        <f>+C25</f>
        <v>1157.7000000000007</v>
      </c>
      <c r="E35" s="34">
        <v>7</v>
      </c>
      <c r="F35" s="229">
        <f t="shared" si="2"/>
        <v>8103.9000000000051</v>
      </c>
      <c r="G35" s="230"/>
      <c r="H35" s="239"/>
      <c r="I35" s="240"/>
      <c r="J35" s="240"/>
      <c r="K35" s="240"/>
      <c r="L35" s="240"/>
      <c r="M35" s="240"/>
      <c r="N35" s="241"/>
      <c r="O35" s="75"/>
      <c r="P35" s="160"/>
      <c r="R35" s="128"/>
      <c r="S35" s="136"/>
      <c r="T35" s="128"/>
      <c r="U35" s="128"/>
    </row>
    <row r="36" spans="1:21" ht="18.75" customHeight="1" x14ac:dyDescent="0.25">
      <c r="A36" s="156"/>
      <c r="B36" s="211" t="s">
        <v>150</v>
      </c>
      <c r="C36" s="212"/>
      <c r="D36" s="34">
        <f>D35</f>
        <v>1157.7000000000007</v>
      </c>
      <c r="E36" s="34">
        <v>0.36</v>
      </c>
      <c r="F36" s="229">
        <f>D36*0.36</f>
        <v>416.77200000000022</v>
      </c>
      <c r="G36" s="230"/>
      <c r="H36" s="147"/>
      <c r="I36" s="148"/>
      <c r="J36" s="148"/>
      <c r="K36" s="148"/>
      <c r="L36" s="148"/>
      <c r="M36" s="148"/>
      <c r="N36" s="149"/>
      <c r="O36" s="75"/>
      <c r="P36" s="160"/>
      <c r="R36" s="128"/>
      <c r="S36" s="136"/>
      <c r="T36" s="128"/>
      <c r="U36" s="128"/>
    </row>
    <row r="37" spans="1:21" ht="18.75" customHeight="1" x14ac:dyDescent="0.25">
      <c r="A37" s="156"/>
      <c r="B37" s="286" t="s">
        <v>151</v>
      </c>
      <c r="C37" s="287"/>
      <c r="D37" s="34">
        <f>D36</f>
        <v>1157.7000000000007</v>
      </c>
      <c r="E37" s="34">
        <v>0.36</v>
      </c>
      <c r="F37" s="229">
        <f>D37*0.36</f>
        <v>416.77200000000022</v>
      </c>
      <c r="G37" s="230"/>
      <c r="H37" s="147"/>
      <c r="I37" s="148"/>
      <c r="J37" s="148"/>
      <c r="K37" s="148"/>
      <c r="L37" s="148"/>
      <c r="M37" s="148"/>
      <c r="N37" s="149"/>
      <c r="O37" s="75"/>
      <c r="P37" s="160"/>
      <c r="R37" s="128"/>
      <c r="S37" s="136"/>
      <c r="T37" s="128"/>
      <c r="U37" s="128"/>
    </row>
    <row r="38" spans="1:21" ht="18.75" customHeight="1" x14ac:dyDescent="0.25">
      <c r="A38" s="156"/>
      <c r="B38" s="211" t="s">
        <v>130</v>
      </c>
      <c r="C38" s="212"/>
      <c r="D38" s="37"/>
      <c r="E38" s="34"/>
      <c r="F38" s="229">
        <f t="shared" si="2"/>
        <v>0</v>
      </c>
      <c r="G38" s="230"/>
      <c r="H38" s="242" t="s">
        <v>81</v>
      </c>
      <c r="I38" s="243"/>
      <c r="J38" s="243"/>
      <c r="K38" s="243"/>
      <c r="L38" s="243"/>
      <c r="M38" s="243"/>
      <c r="N38" s="244"/>
      <c r="O38" s="69">
        <f>+O28+O29+O30+O31+O32+O33+O34</f>
        <v>48827.145199999977</v>
      </c>
      <c r="P38" s="160"/>
      <c r="R38" s="128"/>
      <c r="S38" s="128"/>
      <c r="T38" s="128"/>
      <c r="U38" s="128"/>
    </row>
    <row r="39" spans="1:21" ht="18.75" customHeight="1" x14ac:dyDescent="0.25">
      <c r="A39" s="156"/>
      <c r="B39" s="211" t="s">
        <v>82</v>
      </c>
      <c r="C39" s="212"/>
      <c r="D39" s="50">
        <f>E25-C25</f>
        <v>63464.299999999959</v>
      </c>
      <c r="E39" s="34">
        <v>0.36</v>
      </c>
      <c r="F39" s="229">
        <f t="shared" si="2"/>
        <v>22847.147999999983</v>
      </c>
      <c r="G39" s="230"/>
      <c r="H39" s="215" t="s">
        <v>83</v>
      </c>
      <c r="I39" s="216"/>
      <c r="J39" s="216"/>
      <c r="K39" s="216"/>
      <c r="L39" s="216"/>
      <c r="M39" s="216"/>
      <c r="N39" s="217"/>
      <c r="O39" s="75">
        <v>0</v>
      </c>
      <c r="P39" s="160"/>
      <c r="R39" s="151"/>
      <c r="S39" s="128"/>
      <c r="T39" s="128"/>
      <c r="U39" s="128"/>
    </row>
    <row r="40" spans="1:21" ht="18.75" customHeight="1" x14ac:dyDescent="0.25">
      <c r="A40" s="156"/>
      <c r="B40" s="279" t="s">
        <v>148</v>
      </c>
      <c r="C40" s="280"/>
      <c r="D40" s="129">
        <f>E25-C25</f>
        <v>63464.299999999959</v>
      </c>
      <c r="E40" s="130">
        <v>0.36</v>
      </c>
      <c r="F40" s="284">
        <f>D40*E40</f>
        <v>22847.147999999983</v>
      </c>
      <c r="G40" s="285"/>
      <c r="H40" s="281"/>
      <c r="I40" s="282"/>
      <c r="J40" s="282"/>
      <c r="K40" s="282"/>
      <c r="L40" s="282"/>
      <c r="M40" s="282"/>
      <c r="N40" s="283"/>
      <c r="O40" s="75"/>
      <c r="P40" s="160"/>
      <c r="R40" s="151"/>
      <c r="S40" s="128"/>
      <c r="T40" s="128"/>
      <c r="U40" s="128"/>
    </row>
    <row r="41" spans="1:21" s="39" customFormat="1" ht="18.75" customHeight="1" x14ac:dyDescent="0.25">
      <c r="A41" s="156"/>
      <c r="B41" s="234" t="s">
        <v>131</v>
      </c>
      <c r="C41" s="235"/>
      <c r="D41" s="83"/>
      <c r="E41" s="38"/>
      <c r="F41" s="229">
        <v>0</v>
      </c>
      <c r="G41" s="230"/>
      <c r="H41" s="236" t="s">
        <v>132</v>
      </c>
      <c r="I41" s="237"/>
      <c r="J41" s="237"/>
      <c r="K41" s="237"/>
      <c r="L41" s="237"/>
      <c r="M41" s="237"/>
      <c r="N41" s="238"/>
      <c r="O41" s="69">
        <v>0</v>
      </c>
      <c r="P41" s="160"/>
      <c r="Q41" s="2"/>
      <c r="R41" s="136"/>
      <c r="S41" s="137"/>
      <c r="T41" s="128"/>
      <c r="U41" s="138"/>
    </row>
    <row r="42" spans="1:21" ht="18.75" customHeight="1" x14ac:dyDescent="0.25">
      <c r="A42" s="156"/>
      <c r="B42" s="211" t="s">
        <v>85</v>
      </c>
      <c r="C42" s="212"/>
      <c r="D42" s="35"/>
      <c r="E42" s="25"/>
      <c r="F42" s="229">
        <f>+O25</f>
        <v>0</v>
      </c>
      <c r="G42" s="230"/>
      <c r="H42" s="226" t="s">
        <v>86</v>
      </c>
      <c r="I42" s="227"/>
      <c r="J42" s="227"/>
      <c r="K42" s="227"/>
      <c r="L42" s="227"/>
      <c r="M42" s="227"/>
      <c r="N42" s="228"/>
      <c r="O42" s="69">
        <f>+O39+O41</f>
        <v>0</v>
      </c>
      <c r="P42" s="160"/>
      <c r="Q42" s="81"/>
      <c r="R42" s="139"/>
      <c r="S42" s="138"/>
      <c r="T42" s="138"/>
      <c r="U42" s="128"/>
    </row>
    <row r="43" spans="1:21" ht="28.5" customHeight="1" x14ac:dyDescent="0.25">
      <c r="A43" s="156"/>
      <c r="B43" s="211" t="s">
        <v>87</v>
      </c>
      <c r="C43" s="212"/>
      <c r="D43" s="25"/>
      <c r="E43" s="25"/>
      <c r="F43" s="213">
        <v>0</v>
      </c>
      <c r="G43" s="214"/>
      <c r="H43" s="226" t="s">
        <v>88</v>
      </c>
      <c r="I43" s="227"/>
      <c r="J43" s="227"/>
      <c r="K43" s="227"/>
      <c r="L43" s="227"/>
      <c r="M43" s="227"/>
      <c r="N43" s="228"/>
      <c r="O43" s="69">
        <f>+F29+F30+F31+F32+F33+F34+F35+F38+F39+F41+F42+F43+F44+F45+F46+F47+F48+F49+F50+F51+F52+F53+F54+O38+F40+F36+F37</f>
        <v>649183.26519999956</v>
      </c>
      <c r="P43" s="160"/>
      <c r="Q43" s="2"/>
      <c r="R43" s="136"/>
      <c r="S43" s="128"/>
      <c r="T43" s="128"/>
      <c r="U43" s="128"/>
    </row>
    <row r="44" spans="1:21" ht="18.75" customHeight="1" x14ac:dyDescent="0.25">
      <c r="A44" s="156"/>
      <c r="B44" s="218" t="s">
        <v>89</v>
      </c>
      <c r="C44" s="219"/>
      <c r="D44" s="25"/>
      <c r="E44" s="25"/>
      <c r="F44" s="213">
        <v>0</v>
      </c>
      <c r="G44" s="214"/>
      <c r="H44" s="226" t="s">
        <v>90</v>
      </c>
      <c r="I44" s="227"/>
      <c r="J44" s="227"/>
      <c r="K44" s="227"/>
      <c r="L44" s="227"/>
      <c r="M44" s="227"/>
      <c r="N44" s="228"/>
      <c r="O44" s="75" t="s">
        <v>68</v>
      </c>
      <c r="P44" s="160"/>
      <c r="R44" s="128"/>
      <c r="S44" s="128"/>
      <c r="T44" s="128"/>
      <c r="U44" s="128"/>
    </row>
    <row r="45" spans="1:21" ht="18.75" customHeight="1" x14ac:dyDescent="0.25">
      <c r="A45" s="156"/>
      <c r="B45" s="211" t="s">
        <v>91</v>
      </c>
      <c r="C45" s="212"/>
      <c r="D45" s="25"/>
      <c r="E45" s="25"/>
      <c r="F45" s="213">
        <v>0</v>
      </c>
      <c r="G45" s="214"/>
      <c r="H45" s="224"/>
      <c r="I45" s="245"/>
      <c r="J45" s="245"/>
      <c r="K45" s="245"/>
      <c r="L45" s="245"/>
      <c r="M45" s="245"/>
      <c r="N45" s="225"/>
      <c r="O45" s="75"/>
      <c r="P45" s="160"/>
      <c r="R45" s="128"/>
      <c r="S45" s="128"/>
      <c r="T45" s="128"/>
      <c r="U45" s="128"/>
    </row>
    <row r="46" spans="1:21" ht="18.75" customHeight="1" x14ac:dyDescent="0.25">
      <c r="A46" s="156"/>
      <c r="B46" s="218" t="s">
        <v>133</v>
      </c>
      <c r="C46" s="219"/>
      <c r="D46" s="25"/>
      <c r="E46" s="25"/>
      <c r="F46" s="213">
        <v>0</v>
      </c>
      <c r="G46" s="214"/>
      <c r="H46" s="215" t="s">
        <v>92</v>
      </c>
      <c r="I46" s="216"/>
      <c r="J46" s="216"/>
      <c r="K46" s="216"/>
      <c r="L46" s="216"/>
      <c r="M46" s="216"/>
      <c r="N46" s="217"/>
      <c r="O46" s="2">
        <v>-3356</v>
      </c>
      <c r="P46" s="160"/>
      <c r="R46" s="128"/>
      <c r="S46" s="128"/>
      <c r="T46" s="128"/>
      <c r="U46" s="128"/>
    </row>
    <row r="47" spans="1:21" ht="21" customHeight="1" x14ac:dyDescent="0.25">
      <c r="A47" s="156"/>
      <c r="B47" s="218" t="s">
        <v>134</v>
      </c>
      <c r="C47" s="219"/>
      <c r="D47" s="33">
        <f>+J13</f>
        <v>0</v>
      </c>
      <c r="E47" s="33">
        <v>1.92</v>
      </c>
      <c r="F47" s="213">
        <f>+D47*E47</f>
        <v>0</v>
      </c>
      <c r="G47" s="214"/>
      <c r="H47" s="215" t="s">
        <v>84</v>
      </c>
      <c r="I47" s="216"/>
      <c r="J47" s="216"/>
      <c r="K47" s="216"/>
      <c r="L47" s="216"/>
      <c r="M47" s="216"/>
      <c r="N47" s="217"/>
      <c r="O47" s="69">
        <v>0</v>
      </c>
      <c r="P47" s="160"/>
      <c r="R47" s="128"/>
      <c r="S47" s="128">
        <f>645827-634364+3356</f>
        <v>14819</v>
      </c>
      <c r="T47" s="128">
        <f>15080-14219</f>
        <v>861</v>
      </c>
      <c r="U47" s="128"/>
    </row>
    <row r="48" spans="1:21" ht="29.25" customHeight="1" x14ac:dyDescent="0.25">
      <c r="A48" s="156"/>
      <c r="B48" s="218" t="s">
        <v>135</v>
      </c>
      <c r="C48" s="219"/>
      <c r="D48" s="33">
        <f>+O13</f>
        <v>0</v>
      </c>
      <c r="E48" s="33">
        <v>1.92</v>
      </c>
      <c r="F48" s="246">
        <f>+D48*E48</f>
        <v>0</v>
      </c>
      <c r="G48" s="247"/>
      <c r="H48" s="215" t="s">
        <v>93</v>
      </c>
      <c r="I48" s="216"/>
      <c r="J48" s="216"/>
      <c r="K48" s="216"/>
      <c r="L48" s="216"/>
      <c r="M48" s="216"/>
      <c r="N48" s="217"/>
      <c r="O48" s="69">
        <v>0</v>
      </c>
      <c r="P48" s="160"/>
      <c r="Q48" s="84"/>
      <c r="R48" s="136"/>
      <c r="S48" s="128"/>
      <c r="T48" s="128"/>
      <c r="U48" s="128"/>
    </row>
    <row r="49" spans="1:21" ht="18.75" customHeight="1" x14ac:dyDescent="0.25">
      <c r="A49" s="156"/>
      <c r="B49" s="218" t="s">
        <v>94</v>
      </c>
      <c r="C49" s="219"/>
      <c r="D49" s="33">
        <f>+J13</f>
        <v>0</v>
      </c>
      <c r="E49" s="34">
        <v>1.37</v>
      </c>
      <c r="F49" s="213">
        <f>+D49*E49</f>
        <v>0</v>
      </c>
      <c r="G49" s="214"/>
      <c r="H49" s="215" t="s">
        <v>95</v>
      </c>
      <c r="I49" s="216"/>
      <c r="J49" s="216"/>
      <c r="K49" s="216"/>
      <c r="L49" s="216"/>
      <c r="M49" s="216"/>
      <c r="N49" s="217"/>
      <c r="O49" s="69">
        <v>0</v>
      </c>
      <c r="P49" s="160"/>
      <c r="R49" s="136"/>
      <c r="S49" s="140"/>
      <c r="T49" s="136"/>
      <c r="U49" s="128"/>
    </row>
    <row r="50" spans="1:21" ht="29.25" customHeight="1" x14ac:dyDescent="0.25">
      <c r="A50" s="156"/>
      <c r="B50" s="218" t="s">
        <v>96</v>
      </c>
      <c r="C50" s="219"/>
      <c r="D50" s="33">
        <f>+O12+O13</f>
        <v>0</v>
      </c>
      <c r="E50" s="34">
        <v>0.82</v>
      </c>
      <c r="F50" s="246">
        <f>+D50*E50</f>
        <v>0</v>
      </c>
      <c r="G50" s="247"/>
      <c r="H50" s="226" t="s">
        <v>97</v>
      </c>
      <c r="I50" s="227"/>
      <c r="J50" s="227"/>
      <c r="K50" s="227"/>
      <c r="L50" s="227"/>
      <c r="M50" s="227"/>
      <c r="N50" s="228"/>
      <c r="O50" s="69">
        <f>+O45+O46+O47+O48+O49</f>
        <v>-3356</v>
      </c>
      <c r="P50" s="160"/>
      <c r="R50" s="136"/>
      <c r="S50" s="136"/>
      <c r="T50" s="128"/>
      <c r="U50" s="128"/>
    </row>
    <row r="51" spans="1:21" ht="18.75" customHeight="1" x14ac:dyDescent="0.25">
      <c r="A51" s="156"/>
      <c r="B51" s="218" t="s">
        <v>98</v>
      </c>
      <c r="C51" s="219"/>
      <c r="D51" s="33">
        <f>+O16</f>
        <v>0</v>
      </c>
      <c r="E51" s="34">
        <v>-1.9</v>
      </c>
      <c r="F51" s="246">
        <f>+D51*E51</f>
        <v>0</v>
      </c>
      <c r="G51" s="247"/>
      <c r="H51" s="226" t="s">
        <v>99</v>
      </c>
      <c r="I51" s="227"/>
      <c r="J51" s="227"/>
      <c r="K51" s="227"/>
      <c r="L51" s="227"/>
      <c r="M51" s="227"/>
      <c r="N51" s="228"/>
      <c r="O51" s="85">
        <f>+O50+O43</f>
        <v>645827.26519999956</v>
      </c>
      <c r="P51" s="160"/>
      <c r="Q51" s="2"/>
      <c r="R51" s="2"/>
      <c r="S51" s="2"/>
      <c r="U51" s="2"/>
    </row>
    <row r="52" spans="1:21" ht="18.75" customHeight="1" x14ac:dyDescent="0.25">
      <c r="A52" s="156"/>
      <c r="B52" s="174" t="s">
        <v>100</v>
      </c>
      <c r="C52" s="175"/>
      <c r="D52" s="40"/>
      <c r="E52" s="146">
        <v>0</v>
      </c>
      <c r="F52" s="213">
        <v>0</v>
      </c>
      <c r="G52" s="214"/>
      <c r="H52" s="226" t="s">
        <v>101</v>
      </c>
      <c r="I52" s="227"/>
      <c r="J52" s="227"/>
      <c r="K52" s="227"/>
      <c r="L52" s="227"/>
      <c r="M52" s="227"/>
      <c r="N52" s="228"/>
      <c r="O52" s="85">
        <f>+O51</f>
        <v>645827.26519999956</v>
      </c>
      <c r="P52" s="160"/>
      <c r="Q52" s="2"/>
      <c r="R52" s="2"/>
      <c r="S52" s="2"/>
      <c r="T52" s="2"/>
      <c r="U52" s="2"/>
    </row>
    <row r="53" spans="1:21" ht="27.75" customHeight="1" x14ac:dyDescent="0.25">
      <c r="A53" s="156"/>
      <c r="B53" s="183" t="s">
        <v>136</v>
      </c>
      <c r="C53" s="184"/>
      <c r="D53" s="11"/>
      <c r="E53" s="11"/>
      <c r="F53" s="248">
        <v>0</v>
      </c>
      <c r="G53" s="248"/>
      <c r="H53" s="249"/>
      <c r="I53" s="249"/>
      <c r="J53" s="249"/>
      <c r="K53" s="249"/>
      <c r="L53" s="249"/>
      <c r="M53" s="249"/>
      <c r="N53" s="249"/>
      <c r="O53" s="92"/>
      <c r="P53" s="160"/>
      <c r="R53" s="2"/>
      <c r="S53" s="2"/>
      <c r="T53" s="2"/>
      <c r="U53" s="2"/>
    </row>
    <row r="54" spans="1:21" ht="18.75" customHeight="1" x14ac:dyDescent="0.25">
      <c r="A54" s="156"/>
      <c r="B54" s="174" t="s">
        <v>102</v>
      </c>
      <c r="C54" s="175"/>
      <c r="D54" s="42">
        <f>+J16</f>
        <v>52000</v>
      </c>
      <c r="E54" s="42">
        <v>0.28999999999999998</v>
      </c>
      <c r="F54" s="177">
        <f>+D54*E54</f>
        <v>15079.999999999998</v>
      </c>
      <c r="G54" s="178"/>
      <c r="H54" s="176"/>
      <c r="I54" s="176"/>
      <c r="J54" s="176"/>
      <c r="K54" s="176"/>
      <c r="L54" s="176"/>
      <c r="M54" s="176"/>
      <c r="N54" s="176"/>
      <c r="O54" s="92"/>
      <c r="P54" s="160"/>
      <c r="R54" s="2"/>
      <c r="S54" s="2"/>
      <c r="T54" s="2"/>
    </row>
    <row r="55" spans="1:21" ht="18.75" customHeight="1" x14ac:dyDescent="0.25">
      <c r="A55" s="156"/>
      <c r="B55" s="266" t="str">
        <f>IF(OR(LEN(FLOOR(B2,1))=13,FLOOR(B2,1)&lt;=0),"--------",PROPER(SUBSTITUTE(CONCATENATE(CHOOSE(MID(TEXT(INT(B2),REPT(0,12)),1,1)+1,"","one hundred ","two hundred ","three hundred ","four hundred ","five hundred ","six hundred ","seven hundred ","eight hundred ","nine hundred "),CHOOSE(MID(TEXT(INT(B2),REPT(0,12)),2,1)+1,"",CHOOSE(MID(TEXT(INT(B2),REPT(0,12)),3,1)+1,"ten","eleven","twelve","thirteen","fourteen","fifteen","sixteen","seventeen","eighteen","nineteen"),"twenty","thirty","forty","fifty","sixty","seventy","eighty","ninety"),IF(VALUE(MID(TEXT(INT(B2),REPT(0,12)),2,1))&gt;1,CHOOSE(MID(TEXT(INT(B2),REPT(0,12)),3,1)+1,"","-one","-two","-three","-four","-five","-six","-seven","-eight","-nine"),IF(VALUE(MID(TEXT(INT(B2),REPT(0,12)),2,1))=0,CHOOSE(MID(TEXT(INT(B2),REPT(0,12)),3,1)+1,"","one","two","three","four","five","six","seven","eight","nine"),"")),IF(B2&gt;=10^9," billion ",""),CHOOSE(MID(TEXT(INT(B2),REPT(0,12)),4,1)+1,"","one hundred ","two hundred ","three hundred ","four hundred ","five hundred ","six hundred ","seven hundred ","eight hundred ","nine hundred "),CHOOSE(MID(TEXT(INT(B2),REPT(0,12)),5,1)+1,"",CHOOSE(MID(TEXT(INT(B2),REPT(0,12)),6,1)+1,"ten","eleven","twelve","thirteen","fourteen","fifteen","sixteen","seventeen","eighteen","nineteen"),"twenty","thirty","forty","fifty","sixty","seventy","eighty","ninety"),IF(VALUE(MID(TEXT(INT(B2),REPT(0,12)),5,1))&gt;1,CHOOSE(MID(TEXT(INT(B2),REPT(0,12)),6,1)+1,"","-one","-two","-three","-four","-five","-six","-seven","-eight","-nine"),IF(VALUE(MID(TEXT(INT(B2),REPT(0,12)),5,1))=0,CHOOSE(MID(TEXT(INT(B2),REPT(0,12)),6,1)+1,"","one","two","three","four","five","six","seven","eight","nine"),"")),IF(VALUE(MID(TEXT(INT(B2),REPT(0,12)),4,3))&gt;0," million ",""),CHOOSE(MID(TEXT(INT(B2),REPT(0,12)),7,1)+1,"","one hundred ","two hundred ","three hundred ","four hundred ","five hundred ","six hundred ","seven hundred ","eight hundred ","nine hundred "),CHOOSE(MID(TEXT(INT(B2),REPT(0,12)),8,1)+1,"",CHOOSE(MID(TEXT(INT(B2),REPT(0,12)),9,1)+1,"ten","eleven","twelve","thirteen","fourteen","fifteen","sixteen","seventeen","eighteen","nineteen"),"twenty","thirty","forty","fifty","sixty","seventy","eighty","ninety"),IF(VALUE(MID(TEXT(INT(B2),REPT(0,12)),8,1))&gt;1,CHOOSE(MID(TEXT(INT(B2),REPT(0,12)),9,1)+1,"","-one","-two","-three","-four","-five","-six","-seven","-eight","-nine"),IF(VALUE(MID(TEXT(INT(B2),REPT(0,12)),8,1))=0,CHOOSE(MID(TEXT(INT(B2),REPT(0,12)),9,1)+1,"","one","two","three","four","five","six","seven","eight","nine"),"")),IF(VALUE(MID(TEXT(INT(B2),REPT(0,12)),7,3))," thousand ",""),CHOOSE(MID(TEXT(INT(B2),REPT(0,12)),10,1)+1,"","one hundred ","two hundred ","three hundred ","four hundred ","five hundred ","six hundred ","seven hundred ","eight hundred ","nine hundred "),CHOOSE(MID(TEXT(INT(B2),REPT(0,12)),11,1)+1,"",CHOOSE(MID(TEXT(INT(B2),REPT(0,12)),12,1)+1,"ten","eleven","twelve","thirteen","fourteen","fifteen","sixteen","seventeen","eighteen","nineteen"),"twenty","thirty","forty","fifty","sixty","seventy","eighty","ninety"),IF(VALUE(MID(TEXT(INT(B2),REPT(0,12)),11,1))&gt;1,CHOOSE(MID(TEXT(INT(B2),REPT(0,12)),12,1)+1,"","-one","-two","-three","-four","-five","-six","-seven","-eight","-nine"),IF(VALUE(MID(TEXT(INT(B2),REPT(0,12)),11,1))=0,CHOOSE(MID(TEXT(INT(B2),REPT(0,12)),12,1)+1,"","one","two","three","four","five","six","seven","eight","nine"),""))),"  "," ")&amp;IF(FLOOR(B2,1)&gt;1,"",""))&amp;IF(ISERROR(FIND(".",B2,1)),""," "&amp;PROPER(IF(LEN(LEFT(TRIM(MID(SUBSTITUTE([1]Sheet1!B2,".",REPT(" ",255)),255,200)),2))=1,CHOOSE(1*LEFT(TRIM(MID(SUBSTITUTE([1]Sheet1!B2,".",REPT(" ",255)),255,200)),2),"ten","twenty","thirty","forty","fifty","sixty","seventy","eighty","ninety")&amp;"","")&amp;CONCATENATE(CHOOSE(MID(TEXT(INT(LEFT(TRIM(MID(SUBSTITUTE([1]Sheet1!B2,".",REPT(" ",255)),255,200)),2)),REPT(0,12)),11,1)+1,"",CHOOSE(MID(TEXT(INT(LEFT(TRIM(MID(SUBSTITUTE([1]Sheet1!B2,".",REPT(" ",255)),255,200)),2)),REPT(0,12)),12,1)+1,"ten","eleven","twelve","thirteen","fourteen","fifteen","sixteen","seventeen","eighteen","nineteen")&amp;"","twenty","thirty","forty","fifty","sixty","seventy","eighty","ninety"),IF(VALUE(MID(TEXT(INT(LEFT(TRIM(MID(SUBSTITUTE([1]Sheet1!B2,".",REPT(" ",255)),255,200)),2)),REPT(0,12)),11,1))&gt;1,CHOOSE(MID(TEXT(INT(LEFT(TRIM(MID(SUBSTITUTE([1]Sheet1!B2,".",REPT(" ",255)),255,200)),2)),REPT(0,12)),12,1)+1,"","-one","-two","-three","-four","-five","-six","-seven","-eight","-nine")&amp;"",IF(LEFT(TRIM(MID(SUBSTITUTE([1]Sheet1!B2,".",REPT(" ",255)),255,200)),2)="01","one cent",IF(LEFT(TRIM(MID(SUBSTITUTE([1]Sheet1!B2,".",REPT(" ",255)),255,200)),1)="0",CHOOSE(MID(TEXT(INT(LEFT(TRIM(MID(SUBSTITUTE([1]Sheet1!B2,".",REPT(" ",255)),255,200)),2)),REPT(0,12)),12,1)+1,"","one","two","three","four","five","six","seven","eight","nine")&amp;"","")))))))</f>
        <v>Six Hundred Forty-Five Thousand Eight Hundred Twenty-Seven</v>
      </c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8"/>
      <c r="P55" s="160"/>
      <c r="Q55" s="2"/>
      <c r="R55" s="2"/>
      <c r="S55" s="2"/>
    </row>
    <row r="56" spans="1:21" ht="18.75" customHeight="1" x14ac:dyDescent="0.25">
      <c r="A56" s="156"/>
      <c r="B56" s="174" t="s">
        <v>103</v>
      </c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69"/>
      <c r="P56" s="160"/>
      <c r="Q56" s="2"/>
      <c r="R56" s="2"/>
    </row>
    <row r="57" spans="1:21" ht="18.75" customHeight="1" x14ac:dyDescent="0.25">
      <c r="A57" s="156"/>
      <c r="B57" s="174" t="s">
        <v>104</v>
      </c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69"/>
      <c r="P57" s="160"/>
    </row>
    <row r="58" spans="1:21" ht="18.75" customHeight="1" thickBot="1" x14ac:dyDescent="0.3">
      <c r="A58" s="156"/>
      <c r="B58" s="258" t="s">
        <v>105</v>
      </c>
      <c r="C58" s="259"/>
      <c r="D58" s="270"/>
      <c r="E58" s="13" t="s">
        <v>106</v>
      </c>
      <c r="F58" s="13">
        <v>0</v>
      </c>
      <c r="G58" s="13"/>
      <c r="H58" s="271" t="s">
        <v>107</v>
      </c>
      <c r="I58" s="270"/>
      <c r="J58" s="13">
        <v>0</v>
      </c>
      <c r="K58" s="44"/>
      <c r="L58" s="44"/>
      <c r="M58" s="44"/>
      <c r="N58" s="272"/>
      <c r="O58" s="273"/>
      <c r="P58" s="160"/>
    </row>
    <row r="59" spans="1:21" ht="18.75" customHeight="1" thickBot="1" x14ac:dyDescent="0.3">
      <c r="A59" s="156"/>
      <c r="B59" s="250"/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160"/>
    </row>
    <row r="60" spans="1:21" ht="21" customHeight="1" x14ac:dyDescent="0.25">
      <c r="A60" s="156"/>
      <c r="B60" s="252" t="s">
        <v>108</v>
      </c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4"/>
      <c r="P60" s="160"/>
      <c r="Q60" s="2"/>
      <c r="R60" s="2"/>
    </row>
    <row r="61" spans="1:21" ht="25.5" customHeight="1" x14ac:dyDescent="0.25">
      <c r="A61" s="156"/>
      <c r="B61" s="255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7"/>
      <c r="P61" s="160"/>
      <c r="Q61" s="2"/>
    </row>
    <row r="62" spans="1:21" ht="18" customHeight="1" thickBot="1" x14ac:dyDescent="0.3">
      <c r="A62" s="156"/>
      <c r="B62" s="258" t="s">
        <v>109</v>
      </c>
      <c r="C62" s="259"/>
      <c r="D62" s="259"/>
      <c r="E62" s="259"/>
      <c r="F62" s="259"/>
      <c r="G62" s="259"/>
      <c r="H62" s="259"/>
      <c r="I62" s="259"/>
      <c r="J62" s="259"/>
      <c r="K62" s="259"/>
      <c r="L62" s="259"/>
      <c r="M62" s="259"/>
      <c r="N62" s="259"/>
      <c r="O62" s="260"/>
      <c r="P62" s="160"/>
      <c r="Q62" s="2"/>
    </row>
    <row r="63" spans="1:21" x14ac:dyDescent="0.25">
      <c r="A63" s="156"/>
      <c r="B63" s="261"/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160"/>
    </row>
    <row r="64" spans="1:21" ht="18" customHeight="1" x14ac:dyDescent="0.25">
      <c r="A64" s="156"/>
      <c r="B64" s="263"/>
      <c r="C64" s="264"/>
      <c r="D64" s="265" t="s">
        <v>110</v>
      </c>
      <c r="E64" s="265"/>
      <c r="F64" s="265"/>
      <c r="G64" s="265"/>
      <c r="H64" s="265"/>
      <c r="I64" s="45"/>
      <c r="J64" s="45"/>
      <c r="K64" s="145"/>
      <c r="L64" s="145"/>
      <c r="M64" s="145"/>
      <c r="N64" s="145"/>
      <c r="O64" s="145"/>
      <c r="P64" s="160"/>
    </row>
    <row r="65" spans="1:16" ht="18" customHeight="1" x14ac:dyDescent="0.25">
      <c r="A65" s="156"/>
      <c r="B65" s="144"/>
      <c r="C65" s="145"/>
      <c r="D65" s="274" t="s">
        <v>111</v>
      </c>
      <c r="E65" s="274"/>
      <c r="F65" s="274" t="s">
        <v>112</v>
      </c>
      <c r="G65" s="274"/>
      <c r="H65" s="274"/>
      <c r="I65" s="145"/>
      <c r="J65" s="145"/>
      <c r="K65" s="145"/>
      <c r="L65" s="145"/>
      <c r="M65" s="145"/>
      <c r="N65" s="145"/>
      <c r="O65" s="145"/>
      <c r="P65" s="160"/>
    </row>
    <row r="66" spans="1:16" ht="18" customHeight="1" x14ac:dyDescent="0.25">
      <c r="A66" s="156"/>
      <c r="B66" s="144"/>
      <c r="C66" s="145"/>
      <c r="D66" s="274" t="s">
        <v>113</v>
      </c>
      <c r="E66" s="274"/>
      <c r="F66" s="274" t="s">
        <v>137</v>
      </c>
      <c r="G66" s="274"/>
      <c r="H66" s="274"/>
      <c r="I66" s="145"/>
      <c r="J66" s="145"/>
      <c r="K66" s="145"/>
      <c r="L66" s="145"/>
      <c r="M66" s="145"/>
      <c r="N66" s="145"/>
      <c r="O66" s="145"/>
      <c r="P66" s="160"/>
    </row>
    <row r="67" spans="1:16" ht="18" customHeight="1" x14ac:dyDescent="0.25">
      <c r="A67" s="156"/>
      <c r="B67" s="144"/>
      <c r="C67" s="145"/>
      <c r="D67" s="274" t="s">
        <v>114</v>
      </c>
      <c r="E67" s="274"/>
      <c r="F67" s="274" t="s">
        <v>115</v>
      </c>
      <c r="G67" s="274"/>
      <c r="H67" s="274"/>
      <c r="I67" s="45"/>
      <c r="J67" s="145"/>
      <c r="K67" s="145"/>
      <c r="L67" s="145"/>
      <c r="M67" s="145"/>
      <c r="N67" s="145"/>
      <c r="O67" s="145"/>
      <c r="P67" s="160"/>
    </row>
    <row r="68" spans="1:16" ht="18" customHeight="1" x14ac:dyDescent="0.25">
      <c r="A68" s="156"/>
      <c r="B68" s="144"/>
      <c r="C68" s="145"/>
      <c r="D68" s="274" t="s">
        <v>116</v>
      </c>
      <c r="E68" s="274"/>
      <c r="F68" s="274" t="s">
        <v>117</v>
      </c>
      <c r="G68" s="274"/>
      <c r="H68" s="274"/>
      <c r="I68" s="45"/>
      <c r="J68" s="145"/>
      <c r="K68" s="145"/>
      <c r="L68" s="145"/>
      <c r="M68" s="145"/>
      <c r="N68" s="145"/>
      <c r="O68" s="145"/>
      <c r="P68" s="160"/>
    </row>
    <row r="69" spans="1:16" x14ac:dyDescent="0.25">
      <c r="A69" s="156"/>
      <c r="B69" s="144"/>
      <c r="C69" s="145"/>
      <c r="D69" s="274" t="s">
        <v>118</v>
      </c>
      <c r="E69" s="274"/>
      <c r="F69" s="274" t="s">
        <v>119</v>
      </c>
      <c r="G69" s="274"/>
      <c r="H69" s="274"/>
      <c r="I69" s="45"/>
      <c r="J69" s="145"/>
      <c r="K69" s="145"/>
      <c r="L69" s="145"/>
      <c r="M69" s="145"/>
      <c r="N69" s="145"/>
      <c r="O69" s="145"/>
      <c r="P69" s="160"/>
    </row>
    <row r="70" spans="1:16" x14ac:dyDescent="0.25">
      <c r="A70" s="156"/>
      <c r="B70" s="144"/>
      <c r="C70" s="145"/>
      <c r="D70" s="274" t="s">
        <v>120</v>
      </c>
      <c r="E70" s="274"/>
      <c r="F70" s="275">
        <f>+O52</f>
        <v>645827.26519999956</v>
      </c>
      <c r="G70" s="275"/>
      <c r="H70" s="275"/>
      <c r="I70" s="45"/>
      <c r="J70" s="145"/>
      <c r="K70" s="145"/>
      <c r="L70" s="145"/>
      <c r="M70" s="145"/>
      <c r="N70" s="145"/>
      <c r="O70" s="145"/>
      <c r="P70" s="160"/>
    </row>
    <row r="71" spans="1:16" ht="15.75" thickBot="1" x14ac:dyDescent="0.3">
      <c r="A71" s="15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161"/>
    </row>
  </sheetData>
  <mergeCells count="155">
    <mergeCell ref="D68:E68"/>
    <mergeCell ref="F68:H68"/>
    <mergeCell ref="D69:E69"/>
    <mergeCell ref="F69:H69"/>
    <mergeCell ref="D70:E70"/>
    <mergeCell ref="F70:H70"/>
    <mergeCell ref="D65:E65"/>
    <mergeCell ref="F65:H65"/>
    <mergeCell ref="D66:E66"/>
    <mergeCell ref="F66:H66"/>
    <mergeCell ref="D67:E67"/>
    <mergeCell ref="F67:H67"/>
    <mergeCell ref="B59:O59"/>
    <mergeCell ref="B60:O60"/>
    <mergeCell ref="B61:O61"/>
    <mergeCell ref="B62:O62"/>
    <mergeCell ref="B63:O63"/>
    <mergeCell ref="B64:C64"/>
    <mergeCell ref="D64:H64"/>
    <mergeCell ref="B55:O55"/>
    <mergeCell ref="B56:O56"/>
    <mergeCell ref="B57:O57"/>
    <mergeCell ref="B58:D58"/>
    <mergeCell ref="H58:I58"/>
    <mergeCell ref="N58:O58"/>
    <mergeCell ref="B53:C53"/>
    <mergeCell ref="F53:G53"/>
    <mergeCell ref="H53:N53"/>
    <mergeCell ref="B54:C54"/>
    <mergeCell ref="F54:G54"/>
    <mergeCell ref="H54:N54"/>
    <mergeCell ref="B51:C51"/>
    <mergeCell ref="F51:G51"/>
    <mergeCell ref="H51:N51"/>
    <mergeCell ref="B52:C52"/>
    <mergeCell ref="F52:G52"/>
    <mergeCell ref="H52:N52"/>
    <mergeCell ref="B49:C49"/>
    <mergeCell ref="F49:G49"/>
    <mergeCell ref="H49:N49"/>
    <mergeCell ref="B50:C50"/>
    <mergeCell ref="F50:G50"/>
    <mergeCell ref="H50:N50"/>
    <mergeCell ref="B47:C47"/>
    <mergeCell ref="F47:G47"/>
    <mergeCell ref="H47:N47"/>
    <mergeCell ref="B48:C48"/>
    <mergeCell ref="F48:G48"/>
    <mergeCell ref="H48:N48"/>
    <mergeCell ref="B45:C45"/>
    <mergeCell ref="F45:G45"/>
    <mergeCell ref="H45:N45"/>
    <mergeCell ref="B46:C46"/>
    <mergeCell ref="F46:G46"/>
    <mergeCell ref="H46:N46"/>
    <mergeCell ref="B43:C43"/>
    <mergeCell ref="F43:G43"/>
    <mergeCell ref="H43:N43"/>
    <mergeCell ref="B44:C44"/>
    <mergeCell ref="F44:G44"/>
    <mergeCell ref="H44:N44"/>
    <mergeCell ref="B41:C41"/>
    <mergeCell ref="F41:G41"/>
    <mergeCell ref="H41:N41"/>
    <mergeCell ref="B42:C42"/>
    <mergeCell ref="F42:G42"/>
    <mergeCell ref="H42:N42"/>
    <mergeCell ref="H38:N38"/>
    <mergeCell ref="B39:C39"/>
    <mergeCell ref="F39:G39"/>
    <mergeCell ref="H39:N39"/>
    <mergeCell ref="B40:C40"/>
    <mergeCell ref="F40:G40"/>
    <mergeCell ref="H40:N40"/>
    <mergeCell ref="B36:C36"/>
    <mergeCell ref="F36:G36"/>
    <mergeCell ref="B37:C37"/>
    <mergeCell ref="F37:G37"/>
    <mergeCell ref="B38:C38"/>
    <mergeCell ref="F38:G38"/>
    <mergeCell ref="B34:C34"/>
    <mergeCell ref="F34:G34"/>
    <mergeCell ref="H34:N34"/>
    <mergeCell ref="B35:C35"/>
    <mergeCell ref="F35:G35"/>
    <mergeCell ref="H35:N35"/>
    <mergeCell ref="B32:C32"/>
    <mergeCell ref="F32:G32"/>
    <mergeCell ref="H32:N32"/>
    <mergeCell ref="B33:C33"/>
    <mergeCell ref="F33:G33"/>
    <mergeCell ref="H33:N33"/>
    <mergeCell ref="B30:C30"/>
    <mergeCell ref="F30:G30"/>
    <mergeCell ref="H30:N30"/>
    <mergeCell ref="B31:C31"/>
    <mergeCell ref="F31:G31"/>
    <mergeCell ref="H31:N31"/>
    <mergeCell ref="B28:C28"/>
    <mergeCell ref="F28:G28"/>
    <mergeCell ref="H28:N28"/>
    <mergeCell ref="B29:C29"/>
    <mergeCell ref="F29:G29"/>
    <mergeCell ref="H29:N29"/>
    <mergeCell ref="Q16:S16"/>
    <mergeCell ref="B17:O17"/>
    <mergeCell ref="H18:O18"/>
    <mergeCell ref="B26:O26"/>
    <mergeCell ref="B27:G27"/>
    <mergeCell ref="H27:O27"/>
    <mergeCell ref="B15:E15"/>
    <mergeCell ref="F15:I15"/>
    <mergeCell ref="K15:N15"/>
    <mergeCell ref="B16:E16"/>
    <mergeCell ref="F16:I16"/>
    <mergeCell ref="K16:N16"/>
    <mergeCell ref="B13:E13"/>
    <mergeCell ref="F13:I13"/>
    <mergeCell ref="K13:N13"/>
    <mergeCell ref="B14:E14"/>
    <mergeCell ref="F14:I14"/>
    <mergeCell ref="K14:N14"/>
    <mergeCell ref="F12:I12"/>
    <mergeCell ref="K12:N12"/>
    <mergeCell ref="B8:O8"/>
    <mergeCell ref="B9:E9"/>
    <mergeCell ref="F9:I9"/>
    <mergeCell ref="K9:N9"/>
    <mergeCell ref="B10:E10"/>
    <mergeCell ref="F10:I10"/>
    <mergeCell ref="K10:N10"/>
    <mergeCell ref="A1:A71"/>
    <mergeCell ref="B1:O1"/>
    <mergeCell ref="P1:P71"/>
    <mergeCell ref="B2:B4"/>
    <mergeCell ref="C2:O2"/>
    <mergeCell ref="C3:O3"/>
    <mergeCell ref="C4:O4"/>
    <mergeCell ref="B5:O5"/>
    <mergeCell ref="D6:E6"/>
    <mergeCell ref="F6:G6"/>
    <mergeCell ref="H6:I6"/>
    <mergeCell ref="J6:K6"/>
    <mergeCell ref="L6:M6"/>
    <mergeCell ref="N6:O6"/>
    <mergeCell ref="D7:E7"/>
    <mergeCell ref="F7:G7"/>
    <mergeCell ref="H7:I7"/>
    <mergeCell ref="J7:K7"/>
    <mergeCell ref="L7:M7"/>
    <mergeCell ref="N7:O7"/>
    <mergeCell ref="B11:E11"/>
    <mergeCell ref="F11:I11"/>
    <mergeCell ref="K11:N11"/>
    <mergeCell ref="B12:E12"/>
  </mergeCells>
  <pageMargins left="0.5" right="0.45" top="0.5" bottom="0.25" header="0.3" footer="0.3"/>
  <pageSetup paperSize="9" scale="59" orientation="portrait" r:id="rId1"/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Jan25 Old</vt:lpstr>
      <vt:lpstr>Jan25 New</vt:lpstr>
      <vt:lpstr>Jan25 Total</vt:lpstr>
      <vt:lpstr>FEB-2025</vt:lpstr>
      <vt:lpstr>MARCH 2025</vt:lpstr>
      <vt:lpstr>APRIL 2025</vt:lpstr>
      <vt:lpstr>MAY-2025</vt:lpstr>
      <vt:lpstr>JUNE-2025</vt:lpstr>
      <vt:lpstr>JUNE-2025 (2)</vt:lpstr>
      <vt:lpstr>'APRIL 2025'!Print_Area</vt:lpstr>
      <vt:lpstr>'FEB-2025'!Print_Area</vt:lpstr>
      <vt:lpstr>'Jan25 New'!Print_Area</vt:lpstr>
      <vt:lpstr>'Jan25 Old'!Print_Area</vt:lpstr>
      <vt:lpstr>'Jan25 Total'!Print_Area</vt:lpstr>
      <vt:lpstr>'JUNE-2025'!Print_Area</vt:lpstr>
      <vt:lpstr>'JUNE-2025 (2)'!Print_Area</vt:lpstr>
      <vt:lpstr>'MARCH 2025'!Print_Area</vt:lpstr>
      <vt:lpstr>'MAY-2025'!Print_Area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2025-06-09T08:40:25Z</cp:lastPrinted>
  <dcterms:created xsi:type="dcterms:W3CDTF">2024-11-19T10:21:23Z</dcterms:created>
  <dcterms:modified xsi:type="dcterms:W3CDTF">2025-06-20T06:44:47Z</dcterms:modified>
</cp:coreProperties>
</file>