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7F3738E-A2DA-4C9A-B194-F899F5A25E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4" r:id="rId1"/>
    <sheet name="Sheet2" sheetId="2" r:id="rId2"/>
    <sheet name="Sheet3" sheetId="3" r:id="rId3"/>
    <sheet name="Sheet4" sheetId="7" r:id="rId4"/>
  </sheets>
  <definedNames>
    <definedName name="billrdtotthermal1000">#REF!</definedName>
    <definedName name="billrdtotthermal400">#REF!</definedName>
    <definedName name="billrdtotthermal500">#REF!</definedName>
    <definedName name="billrdtotthermal600">#REF!</definedName>
    <definedName name="billrdtotthermal700">#REF!</definedName>
    <definedName name="billrdtotthermal800">#REF!</definedName>
    <definedName name="billrdtotthermal900">#REF!</definedName>
    <definedName name="billrstothydal1000">#REF!</definedName>
    <definedName name="billrstothydal400">#REF!</definedName>
    <definedName name="billrstothydal500">#REF!</definedName>
    <definedName name="billrstothydal600">#REF!</definedName>
    <definedName name="billrstothydal700">#REF!</definedName>
    <definedName name="billrstothydal800">#REF!</definedName>
    <definedName name="billrstothydal900">#REF!</definedName>
    <definedName name="cbamogha1001">#REF!</definedName>
    <definedName name="cbamogha102">#REF!</definedName>
    <definedName name="cbamogha1101">#REF!</definedName>
    <definedName name="cbamogha1201">#REF!</definedName>
    <definedName name="cbamogha202">#REF!</definedName>
    <definedName name="cbamogha302">#REF!</definedName>
    <definedName name="cbapseb1001">#REF!</definedName>
    <definedName name="cbatriashimsha1001">#REF!</definedName>
    <definedName name="cbatriashiva1001">#REF!</definedName>
    <definedName name="cbatriashiva102">#REF!</definedName>
    <definedName name="cbatriashiva1101">#REF!</definedName>
    <definedName name="cbatriashiva1201">#REF!</definedName>
    <definedName name="cbatriashiva202">#REF!</definedName>
    <definedName name="cbatriashiva302">#REF!</definedName>
    <definedName name="cbatriasmsa102">#REF!</definedName>
    <definedName name="cbatriasmsa1101">#REF!</definedName>
    <definedName name="cbatriasmsa1201">#REF!</definedName>
    <definedName name="cbatriasmsa202">#REF!</definedName>
    <definedName name="cbatriasmsa302">#REF!</definedName>
    <definedName name="cbbasugar1001">#REF!</definedName>
    <definedName name="cbbasugar102">#REF!</definedName>
    <definedName name="cbbasugar1101">#REF!</definedName>
    <definedName name="cbbasugar1201">#REF!</definedName>
    <definedName name="cbbasugar202">#REF!</definedName>
    <definedName name="cbbasugar302">#REF!</definedName>
    <definedName name="cbbhoruka1001">#REF!</definedName>
    <definedName name="cbbhoruka102">#REF!</definedName>
    <definedName name="cbbhoruka1101">#REF!</definedName>
    <definedName name="cbbhoruka1201">#REF!</definedName>
    <definedName name="cbbhoruka202">#REF!</definedName>
    <definedName name="cbbhoruka302">#REF!</definedName>
    <definedName name="cbcepco102">#REF!</definedName>
    <definedName name="cbcepco202">#REF!</definedName>
    <definedName name="cbcepco302">#REF!</definedName>
    <definedName name="cbdandeli1001">#REF!</definedName>
    <definedName name="cbdandeli102">#REF!</definedName>
    <definedName name="cbdandeli1101">#REF!</definedName>
    <definedName name="cbdandeli1201">#REF!</definedName>
    <definedName name="cbdandeli202">#REF!</definedName>
    <definedName name="cbdandeli302">#REF!</definedName>
    <definedName name="cbedcl1001">#REF!</definedName>
    <definedName name="cbedcl102">#REF!</definedName>
    <definedName name="cbedcl1101">#REF!</definedName>
    <definedName name="cbedcl1201">#REF!</definedName>
    <definedName name="cbedcl202">#REF!</definedName>
    <definedName name="cbedcl302">#REF!</definedName>
    <definedName name="cbenercon102">#REF!</definedName>
    <definedName name="cbenercon202">#REF!</definedName>
    <definedName name="cbenercon302">#REF!</definedName>
    <definedName name="cbgridco1001">#REF!</definedName>
    <definedName name="cbgridco102">#REF!</definedName>
    <definedName name="cbgridco1101">#REF!</definedName>
    <definedName name="cbgridco1201">#REF!</definedName>
    <definedName name="cbgridco202">#REF!</definedName>
    <definedName name="cbgridco302">#REF!</definedName>
    <definedName name="cbiclsugar1001">#REF!</definedName>
    <definedName name="cbiclsugar102">#REF!</definedName>
    <definedName name="cbiclsugar1101">#REF!</definedName>
    <definedName name="cbiclsugar1201">#REF!</definedName>
    <definedName name="cbiclsugar202">#REF!</definedName>
    <definedName name="cbiclsugar302">#REF!</definedName>
    <definedName name="cbitpl1001">#REF!</definedName>
    <definedName name="cbitpl102">#REF!</definedName>
    <definedName name="cbitpl1101">#REF!</definedName>
    <definedName name="cbitpl1201">#REF!</definedName>
    <definedName name="cbitpl202">#REF!</definedName>
    <definedName name="cbitpl302">#REF!</definedName>
    <definedName name="cbjtpcl1001">#REF!</definedName>
    <definedName name="cbjtpcl102">#REF!</definedName>
    <definedName name="cbjtpcl1101">#REF!</definedName>
    <definedName name="cbjtpcl1201">#REF!</definedName>
    <definedName name="cbjtpcl202">#REF!</definedName>
    <definedName name="cbjtpcl302">#REF!</definedName>
    <definedName name="cbkaps1001">#REF!</definedName>
    <definedName name="cbkaps102">#REF!</definedName>
    <definedName name="cbkaps1101">#REF!</definedName>
    <definedName name="cbkaps1201">#REF!</definedName>
    <definedName name="cbkaps202">#REF!</definedName>
    <definedName name="cbkaps302">#REF!</definedName>
    <definedName name="cbkaps401">#REF!</definedName>
    <definedName name="cbkaps501">#REF!</definedName>
    <definedName name="cbkaps601">#REF!</definedName>
    <definedName name="cbkaps701">#REF!</definedName>
    <definedName name="cbkaps801">#REF!</definedName>
    <definedName name="cbkaps901">#REF!</definedName>
    <definedName name="cbkpcl1001">#REF!</definedName>
    <definedName name="cbkpcl102">#REF!</definedName>
    <definedName name="cbkpcl1101">#REF!</definedName>
    <definedName name="cbkpcl1201">#REF!</definedName>
    <definedName name="cbkpcl202">#REF!</definedName>
    <definedName name="cbkpcl302">#REF!</definedName>
    <definedName name="cbkpcl401">#REF!</definedName>
    <definedName name="cbkpcl501">#REF!</definedName>
    <definedName name="cbkpcl601">#REF!</definedName>
    <definedName name="cbkpcl701">#REF!</definedName>
    <definedName name="cbkpcl801">#REF!</definedName>
    <definedName name="cbkpcl901">#REF!</definedName>
    <definedName name="cbmalavalli1001">#REF!</definedName>
    <definedName name="cbmalavalli102">#REF!</definedName>
    <definedName name="cbmalavalli1101">#REF!</definedName>
    <definedName name="cbmalavalli1201">#REF!</definedName>
    <definedName name="cbmalavalli202">#REF!</definedName>
    <definedName name="cbmalavalli302">#REF!</definedName>
    <definedName name="cbmaps1001">#REF!</definedName>
    <definedName name="cbmaps102">#REF!</definedName>
    <definedName name="cbmaps1101">#REF!</definedName>
    <definedName name="cbmaps1201">#REF!</definedName>
    <definedName name="cbmaps202">#REF!</definedName>
    <definedName name="cbmaps302">#REF!</definedName>
    <definedName name="cbmaps401">#REF!</definedName>
    <definedName name="cbmaps501">#REF!</definedName>
    <definedName name="cbmaps601">#REF!</definedName>
    <definedName name="cbmaps701">#REF!</definedName>
    <definedName name="cbmaps801">#REF!</definedName>
    <definedName name="cbmaps901">#REF!</definedName>
    <definedName name="cbmurd1001">#REF!</definedName>
    <definedName name="cbmurd102">#REF!</definedName>
    <definedName name="cbmurd1101">#REF!</definedName>
    <definedName name="cbmurd1201">#REF!</definedName>
    <definedName name="cbmurd202">#REF!</definedName>
    <definedName name="cbmurd302">#REF!</definedName>
    <definedName name="cbnjvdu1001">#REF!</definedName>
    <definedName name="cbnjvdu102">#REF!</definedName>
    <definedName name="cbnjvdu1101">#REF!</definedName>
    <definedName name="cbnjvdu1201">#REF!</definedName>
    <definedName name="cbnjvdu202">#REF!</definedName>
    <definedName name="cbnjvdu302">#REF!</definedName>
    <definedName name="cbnlc1001">#REF!</definedName>
    <definedName name="cbnlc102">#REF!</definedName>
    <definedName name="cbnlc1101">#REF!</definedName>
    <definedName name="cbnlc1201">#REF!</definedName>
    <definedName name="cbnlc202">#REF!</definedName>
    <definedName name="cbnlc302">#REF!</definedName>
    <definedName name="cbnlc401">#REF!</definedName>
    <definedName name="cbnlc501">#REF!</definedName>
    <definedName name="cbnlc601">#REF!</definedName>
    <definedName name="cbnlc701">#REF!</definedName>
    <definedName name="cbnlc801">#REF!</definedName>
    <definedName name="cbnlc901">#REF!</definedName>
    <definedName name="cbntpcer1001">#REF!</definedName>
    <definedName name="cbntpcer102">#REF!</definedName>
    <definedName name="cbntpcer1101">#REF!</definedName>
    <definedName name="cbntpcer1201">#REF!</definedName>
    <definedName name="cbntpcer202">#REF!</definedName>
    <definedName name="cbntpcer302">#REF!</definedName>
    <definedName name="cbntpcer401">#REF!</definedName>
    <definedName name="cbntpcer501">#REF!</definedName>
    <definedName name="cbntpcer601">#REF!</definedName>
    <definedName name="cbntpcer701">#REF!</definedName>
    <definedName name="cbntpcer801">#REF!</definedName>
    <definedName name="cbntpcer901">#REF!</definedName>
    <definedName name="cbntpcsr1001">#REF!</definedName>
    <definedName name="cbntpcsr102">#REF!</definedName>
    <definedName name="cbntpcsr1101">#REF!</definedName>
    <definedName name="cbntpcsr1201">#REF!</definedName>
    <definedName name="cbntpcsr202">#REF!</definedName>
    <definedName name="cbntpcsr302">#REF!</definedName>
    <definedName name="cbntpcsr401">#REF!</definedName>
    <definedName name="cbntpcsr501">#REF!</definedName>
    <definedName name="cbntpcsr601">#REF!</definedName>
    <definedName name="cbntpcsr701">#REF!</definedName>
    <definedName name="cbntpcsr801">#REF!</definedName>
    <definedName name="cbntpcsr901">#REF!</definedName>
    <definedName name="cbpbs1001">#REF!</definedName>
    <definedName name="cbpbs102">#REF!</definedName>
    <definedName name="cbpbs1101">#REF!</definedName>
    <definedName name="cbpbs1201">#REF!</definedName>
    <definedName name="cbpbs202">#REF!</definedName>
    <definedName name="cbpbs302">#REF!</definedName>
    <definedName name="cbpgcil1001">#REF!</definedName>
    <definedName name="cbpgcil102">#REF!</definedName>
    <definedName name="cbpgcil1101">#REF!</definedName>
    <definedName name="cbpgcil1201">#REF!</definedName>
    <definedName name="cbpgcil202">#REF!</definedName>
    <definedName name="cbpgcil302">#REF!</definedName>
    <definedName name="cbpgcil901">#REF!</definedName>
    <definedName name="cbptcil102">#REF!</definedName>
    <definedName name="cbptcil1101">#REF!</definedName>
    <definedName name="cbptcil1201">#REF!</definedName>
    <definedName name="cbptcil202">#REF!</definedName>
    <definedName name="cbptcil302">#REF!</definedName>
    <definedName name="cbrenuka1001">#REF!</definedName>
    <definedName name="cbrenuka102">#REF!</definedName>
    <definedName name="cbrenuka1101">#REF!</definedName>
    <definedName name="cbrenuka1201">#REF!</definedName>
    <definedName name="cbrenuka202">#REF!</definedName>
    <definedName name="cbrenuka302">#REF!</definedName>
    <definedName name="cbrssk102">#REF!</definedName>
    <definedName name="cbrssk202">#REF!</definedName>
    <definedName name="cbrssk302">#REF!</definedName>
    <definedName name="cbSIP1001">#REF!</definedName>
    <definedName name="cbSIP102">#REF!</definedName>
    <definedName name="cbSIP1101">#REF!</definedName>
    <definedName name="cbSIP1201">#REF!</definedName>
    <definedName name="cbSIP202">#REF!</definedName>
    <definedName name="cbSIP302">#REF!</definedName>
    <definedName name="cbsmiore1001">#REF!</definedName>
    <definedName name="cbsmiore102">#REF!</definedName>
    <definedName name="cbsmiore1101">#REF!</definedName>
    <definedName name="cbsmiore1201">#REF!</definedName>
    <definedName name="cbsmiore202">#REF!</definedName>
    <definedName name="cbsmiore302">#REF!</definedName>
    <definedName name="cbsraac1001">#REF!</definedName>
    <definedName name="cbsraac102">#REF!</definedName>
    <definedName name="cbsraac1101">#REF!</definedName>
    <definedName name="cbsraac1201">#REF!</definedName>
    <definedName name="cbsraac202">#REF!</definedName>
    <definedName name="cbsraac302">#REF!</definedName>
    <definedName name="cbSS1001">#REF!</definedName>
    <definedName name="cbSS102">#REF!</definedName>
    <definedName name="cbSS1101">#REF!</definedName>
    <definedName name="cbSS1201">#REF!</definedName>
    <definedName name="cbSS202">#REF!</definedName>
    <definedName name="cbSS302">#REF!</definedName>
    <definedName name="cbtata1001">#REF!</definedName>
    <definedName name="cbtata102">#REF!</definedName>
    <definedName name="cbtata1101">#REF!</definedName>
    <definedName name="cbtata1201">#REF!</definedName>
    <definedName name="cbtata202">#REF!</definedName>
    <definedName name="cbtata302">#REF!</definedName>
    <definedName name="cbtbs1001">#REF!</definedName>
    <definedName name="cbtbs102">#REF!</definedName>
    <definedName name="cbtbs1101">#REF!</definedName>
    <definedName name="cbtbs1201">#REF!</definedName>
    <definedName name="cbtbs202">#REF!</definedName>
    <definedName name="cbtbs302">#REF!</definedName>
    <definedName name="cbtnb1001">#REF!</definedName>
    <definedName name="cbtnb102">#REF!</definedName>
    <definedName name="cbtnb1101">#REF!</definedName>
    <definedName name="cbtnb1201">#REF!</definedName>
    <definedName name="cbtnb202">#REF!</definedName>
    <definedName name="cbtnb302">#REF!</definedName>
    <definedName name="cbtneb1001">#REF!</definedName>
    <definedName name="cbtopaz102">#REF!</definedName>
    <definedName name="cbtopaz202">#REF!</definedName>
    <definedName name="cbtopaz302">#REF!</definedName>
    <definedName name="cbUS1001">#REF!</definedName>
    <definedName name="cbUS102">#REF!</definedName>
    <definedName name="cbUS1101">#REF!</definedName>
    <definedName name="cbUS1201">#REF!</definedName>
    <definedName name="cbUS202">#REF!</definedName>
    <definedName name="cbUS302">#REF!</definedName>
    <definedName name="cbwreb1001">#REF!</definedName>
    <definedName name="cbwreb102">#REF!</definedName>
    <definedName name="cbwreb1101">#REF!</definedName>
    <definedName name="cbwreb1201">#REF!</definedName>
    <definedName name="cbwreb202">#REF!</definedName>
    <definedName name="cbwreb302">#REF!</definedName>
    <definedName name="cbwreb401">#REF!</definedName>
    <definedName name="cbwreb501">#REF!</definedName>
    <definedName name="cbwreb601">#REF!</definedName>
    <definedName name="cbwreb701">#REF!</definedName>
    <definedName name="cbwreb801">#REF!</definedName>
    <definedName name="cbwreb901">#REF!</definedName>
    <definedName name="ccon1001">#REF!</definedName>
    <definedName name="ccon102">#REF!</definedName>
    <definedName name="ccon1101">#REF!</definedName>
    <definedName name="ccon1201">#REF!</definedName>
    <definedName name="ccon202">#REF!</definedName>
    <definedName name="ccon302">#REF!</definedName>
    <definedName name="ccon401">#REF!</definedName>
    <definedName name="ccon501">#REF!</definedName>
    <definedName name="ccon601">#REF!</definedName>
    <definedName name="ccon701">#REF!</definedName>
    <definedName name="ccon801">#REF!</definedName>
    <definedName name="ccon901">#REF!</definedName>
    <definedName name="ccost1001">#REF!</definedName>
    <definedName name="ccost102">#REF!</definedName>
    <definedName name="ccost1101">#REF!</definedName>
    <definedName name="ccost1201">#REF!</definedName>
    <definedName name="ccost202">#REF!</definedName>
    <definedName name="ccost302">#REF!</definedName>
    <definedName name="ccost401">#REF!</definedName>
    <definedName name="ccost501">#REF!</definedName>
    <definedName name="ccost601">#REF!</definedName>
    <definedName name="ccost701">#REF!</definedName>
    <definedName name="ccost801">#REF!</definedName>
    <definedName name="ccost901">#REF!</definedName>
    <definedName name="contothydal1000">#REF!</definedName>
    <definedName name="contothydal400">#REF!</definedName>
    <definedName name="contothydal500">#REF!</definedName>
    <definedName name="contothydal600">#REF!</definedName>
    <definedName name="contothydal700">#REF!</definedName>
    <definedName name="contothydal800">#REF!</definedName>
    <definedName name="contothydal900">#REF!</definedName>
    <definedName name="contotthermal1000">#REF!</definedName>
    <definedName name="contotthermal400">#REF!</definedName>
    <definedName name="contotthermal500">#REF!</definedName>
    <definedName name="contotthermal600">#REF!</definedName>
    <definedName name="contotthermal700">#REF!</definedName>
    <definedName name="contotthermal800">#REF!</definedName>
    <definedName name="contotthermal900">#REF!</definedName>
    <definedName name="Gerusoppa">#REF!</definedName>
    <definedName name="OLE_LINK6">#REF!</definedName>
    <definedName name="_xlnm.Print_Area" localSheetId="0">Sheet1!$A$2:$K$178</definedName>
    <definedName name="_xlnm.Print_Titles" localSheetId="0">Sheet1!$4:$4</definedName>
    <definedName name="RTPS_Ist___2nd_Unit">#REF!</definedName>
  </definedNames>
  <calcPr calcId="191029"/>
</workbook>
</file>

<file path=xl/calcChain.xml><?xml version="1.0" encoding="utf-8"?>
<calcChain xmlns="http://schemas.openxmlformats.org/spreadsheetml/2006/main">
  <c r="M12" i="4" l="1"/>
  <c r="M14" i="4" s="1"/>
  <c r="M31" i="4"/>
  <c r="M66" i="4"/>
  <c r="N66" i="4"/>
  <c r="O66" i="4"/>
  <c r="F66" i="4" s="1"/>
  <c r="H66" i="4" s="1"/>
  <c r="I66" i="4" s="1"/>
  <c r="J66" i="4" s="1"/>
  <c r="K66" i="4" s="1"/>
  <c r="Q66" i="4"/>
  <c r="M67" i="4"/>
  <c r="O67" i="4"/>
  <c r="M68" i="4"/>
  <c r="O68" i="4"/>
  <c r="M69" i="4"/>
  <c r="N69" i="4"/>
  <c r="O69" i="4" s="1"/>
  <c r="F69" i="4" s="1"/>
  <c r="M70" i="4"/>
  <c r="O70" i="4"/>
  <c r="M71" i="4"/>
  <c r="O71" i="4"/>
  <c r="F71" i="4" s="1"/>
  <c r="M72" i="4"/>
  <c r="O72" i="4"/>
  <c r="M73" i="4"/>
  <c r="O73" i="4"/>
  <c r="F73" i="4" s="1"/>
  <c r="M74" i="4"/>
  <c r="N74" i="4" s="1"/>
  <c r="O74" i="4" s="1"/>
  <c r="F74" i="4" s="1"/>
  <c r="M76" i="4"/>
  <c r="N76" i="4"/>
  <c r="O76" i="4" s="1"/>
  <c r="F76" i="4" s="1"/>
  <c r="M77" i="4"/>
  <c r="O77" i="4"/>
  <c r="F77" i="4" s="1"/>
  <c r="M78" i="4"/>
  <c r="O78" i="4"/>
  <c r="M79" i="4"/>
  <c r="N79" i="4"/>
  <c r="O79" i="4" s="1"/>
  <c r="F79" i="4" s="1"/>
  <c r="M80" i="4"/>
  <c r="O80" i="4"/>
  <c r="M81" i="4"/>
  <c r="O81" i="4"/>
  <c r="M82" i="4"/>
  <c r="O82" i="4"/>
  <c r="F82" i="4" s="1"/>
  <c r="H82" i="4" s="1"/>
  <c r="I82" i="4" s="1"/>
  <c r="J82" i="4" s="1"/>
  <c r="K82" i="4" s="1"/>
  <c r="M83" i="4"/>
  <c r="O83" i="4"/>
  <c r="M84" i="4"/>
  <c r="N84" i="4"/>
  <c r="O84" i="4"/>
  <c r="F84" i="4" s="1"/>
  <c r="P108" i="4"/>
  <c r="G148" i="4" s="1"/>
  <c r="M128" i="4"/>
  <c r="N128" i="4"/>
  <c r="O128" i="4" s="1"/>
  <c r="F128" i="4" s="1"/>
  <c r="H128" i="4" s="1"/>
  <c r="I128" i="4" s="1"/>
  <c r="J128" i="4" s="1"/>
  <c r="K128" i="4" s="1"/>
  <c r="C136" i="4" s="1"/>
  <c r="C137" i="4" s="1"/>
  <c r="M129" i="4"/>
  <c r="O129" i="4"/>
  <c r="M130" i="4"/>
  <c r="O130" i="4"/>
  <c r="F130" i="4" s="1"/>
  <c r="H130" i="4" s="1"/>
  <c r="I130" i="4" s="1"/>
  <c r="J130" i="4" s="1"/>
  <c r="K130" i="4" s="1"/>
  <c r="M131" i="4"/>
  <c r="O131" i="4"/>
  <c r="M132" i="4"/>
  <c r="O132" i="4"/>
  <c r="F132" i="4" s="1"/>
  <c r="H132" i="4" s="1"/>
  <c r="I132" i="4" s="1"/>
  <c r="J132" i="4" s="1"/>
  <c r="K132" i="4" s="1"/>
  <c r="M133" i="4"/>
  <c r="O133" i="4"/>
  <c r="M134" i="4"/>
  <c r="O134" i="4"/>
  <c r="M135" i="4"/>
  <c r="O135" i="4"/>
  <c r="M136" i="4"/>
  <c r="O136" i="4"/>
  <c r="F136" i="4" s="1"/>
  <c r="H136" i="4" s="1"/>
  <c r="I136" i="4" s="1"/>
  <c r="J136" i="4" s="1"/>
  <c r="K136" i="4" s="1"/>
  <c r="M137" i="4"/>
  <c r="O137" i="4"/>
  <c r="M138" i="4"/>
  <c r="O138" i="4"/>
  <c r="F138" i="4" s="1"/>
  <c r="M139" i="4"/>
  <c r="O139" i="4"/>
  <c r="M140" i="4"/>
  <c r="O140" i="4"/>
  <c r="M141" i="4"/>
  <c r="O141" i="4"/>
  <c r="M142" i="4"/>
  <c r="O142" i="4"/>
  <c r="F142" i="4" s="1"/>
  <c r="H142" i="4" s="1"/>
  <c r="I142" i="4" s="1"/>
  <c r="J142" i="4" s="1"/>
  <c r="K142" i="4" s="1"/>
  <c r="M144" i="4"/>
  <c r="N144" i="4"/>
  <c r="O144" i="4"/>
  <c r="M145" i="4"/>
  <c r="O145" i="4"/>
  <c r="M146" i="4"/>
  <c r="O146" i="4"/>
  <c r="M147" i="4"/>
  <c r="O147" i="4"/>
  <c r="M148" i="4"/>
  <c r="O148" i="4"/>
  <c r="F148" i="4" s="1"/>
  <c r="H148" i="4" s="1"/>
  <c r="I148" i="4" s="1"/>
  <c r="J148" i="4" s="1"/>
  <c r="K148" i="4" s="1"/>
  <c r="M149" i="4"/>
  <c r="O149" i="4"/>
  <c r="M150" i="4"/>
  <c r="O150" i="4"/>
  <c r="F150" i="4" s="1"/>
  <c r="M151" i="4"/>
  <c r="O151" i="4"/>
  <c r="F151" i="4" s="1"/>
  <c r="H151" i="4" s="1"/>
  <c r="I151" i="4" s="1"/>
  <c r="J151" i="4" s="1"/>
  <c r="K151" i="4" s="1"/>
  <c r="M152" i="4"/>
  <c r="O152" i="4"/>
  <c r="M153" i="4"/>
  <c r="O153" i="4"/>
  <c r="F153" i="4" s="1"/>
  <c r="M154" i="4"/>
  <c r="O154" i="4"/>
  <c r="F154" i="4" s="1"/>
  <c r="H154" i="4" s="1"/>
  <c r="I154" i="4" s="1"/>
  <c r="J154" i="4" s="1"/>
  <c r="K154" i="4" s="1"/>
  <c r="M155" i="4"/>
  <c r="O155" i="4"/>
  <c r="F155" i="4" s="1"/>
  <c r="M156" i="4"/>
  <c r="O156" i="4"/>
  <c r="M157" i="4"/>
  <c r="O157" i="4"/>
  <c r="M158" i="4"/>
  <c r="O158" i="4"/>
  <c r="C17" i="7"/>
  <c r="G14" i="7"/>
  <c r="C15" i="7"/>
  <c r="C13" i="7"/>
  <c r="F25" i="4"/>
  <c r="G25" i="4"/>
  <c r="F26" i="4"/>
  <c r="G26" i="4"/>
  <c r="F27" i="4"/>
  <c r="H27" i="4" s="1"/>
  <c r="I27" i="4" s="1"/>
  <c r="J27" i="4" s="1"/>
  <c r="K27" i="4" s="1"/>
  <c r="G27" i="4"/>
  <c r="G240" i="4"/>
  <c r="H240" i="4" s="1"/>
  <c r="I240" i="4" s="1"/>
  <c r="J240" i="4" s="1"/>
  <c r="K240" i="4" s="1"/>
  <c r="F160" i="4"/>
  <c r="G131" i="4"/>
  <c r="G132" i="4"/>
  <c r="G133" i="4"/>
  <c r="G134" i="4"/>
  <c r="G135" i="4"/>
  <c r="G136" i="4"/>
  <c r="G137" i="4"/>
  <c r="G138" i="4"/>
  <c r="G139" i="4"/>
  <c r="G140" i="4"/>
  <c r="F13" i="4"/>
  <c r="F12" i="4"/>
  <c r="F11" i="4"/>
  <c r="F10" i="4"/>
  <c r="F9" i="4"/>
  <c r="F8" i="4"/>
  <c r="F7" i="4"/>
  <c r="F16" i="3"/>
  <c r="N17" i="3"/>
  <c r="N16" i="3"/>
  <c r="N18" i="3" s="1"/>
  <c r="O14" i="3"/>
  <c r="P14" i="3" s="1"/>
  <c r="N14" i="3"/>
  <c r="G16" i="3"/>
  <c r="H16" i="3"/>
  <c r="H13" i="3"/>
  <c r="H14" i="3"/>
  <c r="H15" i="3"/>
  <c r="H12" i="3"/>
  <c r="O19" i="3"/>
  <c r="N19" i="3"/>
  <c r="F178" i="4"/>
  <c r="G193" i="4"/>
  <c r="G192" i="4"/>
  <c r="G191" i="4"/>
  <c r="G190" i="4"/>
  <c r="G165" i="4"/>
  <c r="H165" i="4" s="1"/>
  <c r="I165" i="4" s="1"/>
  <c r="J165" i="4" s="1"/>
  <c r="K165" i="4" s="1"/>
  <c r="F161" i="4"/>
  <c r="G128" i="4"/>
  <c r="G129" i="4"/>
  <c r="G130" i="4"/>
  <c r="F156" i="4"/>
  <c r="F152" i="4"/>
  <c r="F141" i="4"/>
  <c r="F140" i="4"/>
  <c r="F139" i="4"/>
  <c r="F137" i="4"/>
  <c r="F135" i="4"/>
  <c r="H135" i="4" s="1"/>
  <c r="I135" i="4" s="1"/>
  <c r="J135" i="4" s="1"/>
  <c r="K135" i="4" s="1"/>
  <c r="F124" i="4"/>
  <c r="F123" i="4"/>
  <c r="F122" i="4"/>
  <c r="F121" i="4"/>
  <c r="F120" i="4"/>
  <c r="F119" i="4"/>
  <c r="F118" i="4"/>
  <c r="F117" i="4"/>
  <c r="F116" i="4"/>
  <c r="F115" i="4"/>
  <c r="H115" i="4" s="1"/>
  <c r="I115" i="4" s="1"/>
  <c r="J115" i="4" s="1"/>
  <c r="K115" i="4" s="1"/>
  <c r="F114" i="4"/>
  <c r="F113" i="4"/>
  <c r="F108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G28" i="4"/>
  <c r="G15" i="4"/>
  <c r="G6" i="4"/>
  <c r="F177" i="4"/>
  <c r="F176" i="4"/>
  <c r="F175" i="4"/>
  <c r="E177" i="4"/>
  <c r="G177" i="4" s="1"/>
  <c r="H177" i="4" s="1"/>
  <c r="I177" i="4" s="1"/>
  <c r="J177" i="4" s="1"/>
  <c r="K177" i="4" s="1"/>
  <c r="E176" i="4"/>
  <c r="G176" i="4" s="1"/>
  <c r="F162" i="4"/>
  <c r="E162" i="4"/>
  <c r="G162" i="4" s="1"/>
  <c r="E161" i="4"/>
  <c r="G161" i="4" s="1"/>
  <c r="F158" i="4"/>
  <c r="F157" i="4"/>
  <c r="E158" i="4"/>
  <c r="G158" i="4" s="1"/>
  <c r="E157" i="4"/>
  <c r="E142" i="4"/>
  <c r="G142" i="4" s="1"/>
  <c r="E141" i="4"/>
  <c r="G141" i="4" s="1"/>
  <c r="F126" i="4"/>
  <c r="F125" i="4"/>
  <c r="E126" i="4"/>
  <c r="G126" i="4" s="1"/>
  <c r="E125" i="4"/>
  <c r="E106" i="4"/>
  <c r="G106" i="4" s="1"/>
  <c r="E105" i="4"/>
  <c r="G105" i="4" s="1"/>
  <c r="E104" i="4"/>
  <c r="G104" i="4" s="1"/>
  <c r="F63" i="4"/>
  <c r="F62" i="4"/>
  <c r="F61" i="4"/>
  <c r="H61" i="4" s="1"/>
  <c r="I61" i="4" s="1"/>
  <c r="J61" i="4" s="1"/>
  <c r="K61" i="4" s="1"/>
  <c r="E63" i="4"/>
  <c r="G63" i="4" s="1"/>
  <c r="E62" i="4"/>
  <c r="G62" i="4" s="1"/>
  <c r="E61" i="4"/>
  <c r="G61" i="4" s="1"/>
  <c r="F55" i="4"/>
  <c r="F54" i="4"/>
  <c r="F53" i="4"/>
  <c r="E55" i="4"/>
  <c r="E54" i="4"/>
  <c r="G54" i="4" s="1"/>
  <c r="E53" i="4"/>
  <c r="G53" i="4" s="1"/>
  <c r="H53" i="4" s="1"/>
  <c r="I53" i="4" s="1"/>
  <c r="J53" i="4" s="1"/>
  <c r="K53" i="4" s="1"/>
  <c r="F43" i="4"/>
  <c r="F42" i="4"/>
  <c r="F41" i="4"/>
  <c r="E43" i="4"/>
  <c r="G43" i="4"/>
  <c r="E42" i="4"/>
  <c r="G42" i="4" s="1"/>
  <c r="H42" i="4" s="1"/>
  <c r="I42" i="4" s="1"/>
  <c r="J42" i="4" s="1"/>
  <c r="K42" i="4" s="1"/>
  <c r="E41" i="4"/>
  <c r="G41" i="4" s="1"/>
  <c r="F35" i="4"/>
  <c r="H35" i="4" s="1"/>
  <c r="I35" i="4" s="1"/>
  <c r="J35" i="4" s="1"/>
  <c r="K35" i="4" s="1"/>
  <c r="F34" i="4"/>
  <c r="F33" i="4"/>
  <c r="E35" i="4"/>
  <c r="G35" i="4" s="1"/>
  <c r="E34" i="4"/>
  <c r="G34" i="4" s="1"/>
  <c r="H34" i="4" s="1"/>
  <c r="I34" i="4" s="1"/>
  <c r="J34" i="4" s="1"/>
  <c r="K34" i="4" s="1"/>
  <c r="E33" i="4"/>
  <c r="G33" i="4" s="1"/>
  <c r="E32" i="4"/>
  <c r="G32" i="4" s="1"/>
  <c r="E31" i="4"/>
  <c r="G31" i="4" s="1"/>
  <c r="E30" i="4"/>
  <c r="G30" i="4" s="1"/>
  <c r="E29" i="4"/>
  <c r="G29" i="4" s="1"/>
  <c r="F22" i="4"/>
  <c r="F21" i="4"/>
  <c r="F20" i="4"/>
  <c r="E22" i="4"/>
  <c r="G22" i="4" s="1"/>
  <c r="E21" i="4"/>
  <c r="G21" i="4"/>
  <c r="E20" i="4"/>
  <c r="G20" i="4" s="1"/>
  <c r="E13" i="4"/>
  <c r="G13" i="4" s="1"/>
  <c r="E12" i="4"/>
  <c r="G12" i="4" s="1"/>
  <c r="E11" i="4"/>
  <c r="G11" i="4" s="1"/>
  <c r="H11" i="4" s="1"/>
  <c r="I11" i="4" s="1"/>
  <c r="J11" i="4" s="1"/>
  <c r="K11" i="4" s="1"/>
  <c r="F181" i="4"/>
  <c r="G195" i="4"/>
  <c r="G243" i="4"/>
  <c r="H243" i="4" s="1"/>
  <c r="I243" i="4" s="1"/>
  <c r="J243" i="4" s="1"/>
  <c r="K243" i="4" s="1"/>
  <c r="G235" i="4"/>
  <c r="H235" i="4" s="1"/>
  <c r="I235" i="4" s="1"/>
  <c r="J235" i="4" s="1"/>
  <c r="K235" i="4" s="1"/>
  <c r="F47" i="4"/>
  <c r="F195" i="4"/>
  <c r="G175" i="4"/>
  <c r="E178" i="4"/>
  <c r="G178" i="4" s="1"/>
  <c r="H178" i="4" s="1"/>
  <c r="I178" i="4" s="1"/>
  <c r="J178" i="4" s="1"/>
  <c r="K178" i="4" s="1"/>
  <c r="H169" i="4"/>
  <c r="I169" i="4" s="1"/>
  <c r="J169" i="4" s="1"/>
  <c r="K169" i="4" s="1"/>
  <c r="H171" i="4"/>
  <c r="I171" i="4" s="1"/>
  <c r="J171" i="4" s="1"/>
  <c r="K171" i="4" s="1"/>
  <c r="H167" i="4"/>
  <c r="I167" i="4" s="1"/>
  <c r="J167" i="4" s="1"/>
  <c r="K167" i="4" s="1"/>
  <c r="F229" i="4"/>
  <c r="F228" i="4"/>
  <c r="F227" i="4"/>
  <c r="F226" i="4"/>
  <c r="F225" i="4"/>
  <c r="F224" i="4"/>
  <c r="F223" i="4"/>
  <c r="F222" i="4"/>
  <c r="F221" i="4"/>
  <c r="F220" i="4"/>
  <c r="F218" i="4"/>
  <c r="F217" i="4"/>
  <c r="F216" i="4"/>
  <c r="F215" i="4"/>
  <c r="F214" i="4"/>
  <c r="F213" i="4"/>
  <c r="H213" i="4" s="1"/>
  <c r="I213" i="4" s="1"/>
  <c r="J213" i="4" s="1"/>
  <c r="K213" i="4" s="1"/>
  <c r="F212" i="4"/>
  <c r="F211" i="4"/>
  <c r="F210" i="4"/>
  <c r="F209" i="4"/>
  <c r="F207" i="4"/>
  <c r="F206" i="4"/>
  <c r="F205" i="4"/>
  <c r="F204" i="4"/>
  <c r="F203" i="4"/>
  <c r="F202" i="4"/>
  <c r="F201" i="4"/>
  <c r="F200" i="4"/>
  <c r="F199" i="4"/>
  <c r="F198" i="4"/>
  <c r="F194" i="4"/>
  <c r="F193" i="4"/>
  <c r="F192" i="4"/>
  <c r="F191" i="4"/>
  <c r="F190" i="4"/>
  <c r="F189" i="4"/>
  <c r="F188" i="4"/>
  <c r="F187" i="4"/>
  <c r="F186" i="4"/>
  <c r="F185" i="4"/>
  <c r="F184" i="4"/>
  <c r="F149" i="4"/>
  <c r="F147" i="4"/>
  <c r="F146" i="4"/>
  <c r="F145" i="4"/>
  <c r="F134" i="4"/>
  <c r="F133" i="4"/>
  <c r="H133" i="4" s="1"/>
  <c r="I133" i="4" s="1"/>
  <c r="J133" i="4" s="1"/>
  <c r="K133" i="4" s="1"/>
  <c r="F131" i="4"/>
  <c r="H131" i="4" s="1"/>
  <c r="I131" i="4" s="1"/>
  <c r="J131" i="4" s="1"/>
  <c r="K131" i="4" s="1"/>
  <c r="F129" i="4"/>
  <c r="H129" i="4" s="1"/>
  <c r="I129" i="4" s="1"/>
  <c r="J129" i="4" s="1"/>
  <c r="K129" i="4" s="1"/>
  <c r="F112" i="4"/>
  <c r="F111" i="4"/>
  <c r="F110" i="4"/>
  <c r="F109" i="4"/>
  <c r="F83" i="4"/>
  <c r="F81" i="4"/>
  <c r="F80" i="4"/>
  <c r="F78" i="4"/>
  <c r="F72" i="4"/>
  <c r="F70" i="4"/>
  <c r="F68" i="4"/>
  <c r="F67" i="4"/>
  <c r="F60" i="4"/>
  <c r="F59" i="4"/>
  <c r="F58" i="4"/>
  <c r="F52" i="4"/>
  <c r="F51" i="4"/>
  <c r="F50" i="4"/>
  <c r="F49" i="4"/>
  <c r="F48" i="4"/>
  <c r="F46" i="4"/>
  <c r="F45" i="4"/>
  <c r="F40" i="4"/>
  <c r="F39" i="4"/>
  <c r="F38" i="4"/>
  <c r="F32" i="4"/>
  <c r="F31" i="4"/>
  <c r="H31" i="4" s="1"/>
  <c r="I31" i="4" s="1"/>
  <c r="J31" i="4" s="1"/>
  <c r="K31" i="4" s="1"/>
  <c r="F30" i="4"/>
  <c r="H30" i="4" s="1"/>
  <c r="I30" i="4" s="1"/>
  <c r="J30" i="4" s="1"/>
  <c r="K30" i="4" s="1"/>
  <c r="F29" i="4"/>
  <c r="F28" i="4"/>
  <c r="H28" i="4" s="1"/>
  <c r="I28" i="4" s="1"/>
  <c r="J28" i="4" s="1"/>
  <c r="K28" i="4" s="1"/>
  <c r="F19" i="4"/>
  <c r="F18" i="4"/>
  <c r="F17" i="4"/>
  <c r="F16" i="4"/>
  <c r="F15" i="4"/>
  <c r="F6" i="4"/>
  <c r="G86" i="4"/>
  <c r="H86" i="4" s="1"/>
  <c r="I86" i="4" s="1"/>
  <c r="J86" i="4" s="1"/>
  <c r="K86" i="4" s="1"/>
  <c r="G181" i="4"/>
  <c r="E229" i="4"/>
  <c r="G229" i="4" s="1"/>
  <c r="H229" i="4" s="1"/>
  <c r="I229" i="4" s="1"/>
  <c r="J229" i="4" s="1"/>
  <c r="K229" i="4" s="1"/>
  <c r="E228" i="4"/>
  <c r="G228" i="4" s="1"/>
  <c r="H228" i="4" s="1"/>
  <c r="I228" i="4" s="1"/>
  <c r="J228" i="4" s="1"/>
  <c r="K228" i="4" s="1"/>
  <c r="E227" i="4"/>
  <c r="G227" i="4" s="1"/>
  <c r="E226" i="4"/>
  <c r="G226" i="4" s="1"/>
  <c r="H226" i="4" s="1"/>
  <c r="I226" i="4" s="1"/>
  <c r="J226" i="4" s="1"/>
  <c r="K226" i="4" s="1"/>
  <c r="E225" i="4"/>
  <c r="G225" i="4" s="1"/>
  <c r="H225" i="4" s="1"/>
  <c r="I225" i="4" s="1"/>
  <c r="J225" i="4" s="1"/>
  <c r="K225" i="4" s="1"/>
  <c r="E224" i="4"/>
  <c r="G224" i="4" s="1"/>
  <c r="E223" i="4"/>
  <c r="G223" i="4" s="1"/>
  <c r="E222" i="4"/>
  <c r="G222" i="4" s="1"/>
  <c r="H222" i="4" s="1"/>
  <c r="I222" i="4" s="1"/>
  <c r="J222" i="4" s="1"/>
  <c r="K222" i="4" s="1"/>
  <c r="E221" i="4"/>
  <c r="G221" i="4" s="1"/>
  <c r="E220" i="4"/>
  <c r="G220" i="4" s="1"/>
  <c r="E218" i="4"/>
  <c r="G218" i="4" s="1"/>
  <c r="E217" i="4"/>
  <c r="G217" i="4" s="1"/>
  <c r="H217" i="4" s="1"/>
  <c r="I217" i="4" s="1"/>
  <c r="J217" i="4" s="1"/>
  <c r="K217" i="4" s="1"/>
  <c r="E216" i="4"/>
  <c r="G216" i="4" s="1"/>
  <c r="H216" i="4" s="1"/>
  <c r="I216" i="4" s="1"/>
  <c r="J216" i="4" s="1"/>
  <c r="K216" i="4" s="1"/>
  <c r="E215" i="4"/>
  <c r="G215" i="4" s="1"/>
  <c r="E214" i="4"/>
  <c r="G214" i="4" s="1"/>
  <c r="E213" i="4"/>
  <c r="G213" i="4" s="1"/>
  <c r="E212" i="4"/>
  <c r="G212" i="4" s="1"/>
  <c r="H212" i="4" s="1"/>
  <c r="I212" i="4" s="1"/>
  <c r="J212" i="4" s="1"/>
  <c r="K212" i="4" s="1"/>
  <c r="E211" i="4"/>
  <c r="G211" i="4" s="1"/>
  <c r="E210" i="4"/>
  <c r="G210" i="4" s="1"/>
  <c r="E209" i="4"/>
  <c r="G209" i="4" s="1"/>
  <c r="H209" i="4" s="1"/>
  <c r="I209" i="4" s="1"/>
  <c r="J209" i="4" s="1"/>
  <c r="K209" i="4" s="1"/>
  <c r="G231" i="4"/>
  <c r="H231" i="4" s="1"/>
  <c r="I231" i="4" s="1"/>
  <c r="J231" i="4" s="1"/>
  <c r="K231" i="4" s="1"/>
  <c r="G196" i="4"/>
  <c r="H196" i="4" s="1"/>
  <c r="I196" i="4" s="1"/>
  <c r="J196" i="4" s="1"/>
  <c r="K196" i="4" s="1"/>
  <c r="G194" i="4"/>
  <c r="H194" i="4" s="1"/>
  <c r="I194" i="4" s="1"/>
  <c r="J194" i="4" s="1"/>
  <c r="K194" i="4" s="1"/>
  <c r="G164" i="4"/>
  <c r="H164" i="4" s="1"/>
  <c r="I164" i="4" s="1"/>
  <c r="J164" i="4" s="1"/>
  <c r="K164" i="4" s="1"/>
  <c r="G160" i="4"/>
  <c r="E67" i="4"/>
  <c r="G67" i="4" s="1"/>
  <c r="F144" i="4"/>
  <c r="E74" i="4"/>
  <c r="G74" i="4" s="1"/>
  <c r="E73" i="4"/>
  <c r="G73" i="4" s="1"/>
  <c r="E72" i="4"/>
  <c r="G72" i="4" s="1"/>
  <c r="E71" i="4"/>
  <c r="G71" i="4" s="1"/>
  <c r="E70" i="4"/>
  <c r="G70" i="4" s="1"/>
  <c r="H70" i="4" s="1"/>
  <c r="I70" i="4" s="1"/>
  <c r="J70" i="4" s="1"/>
  <c r="K70" i="4" s="1"/>
  <c r="E69" i="4"/>
  <c r="G69" i="4" s="1"/>
  <c r="E68" i="4"/>
  <c r="G68" i="4" s="1"/>
  <c r="S66" i="4"/>
  <c r="E60" i="4"/>
  <c r="G60" i="4" s="1"/>
  <c r="E59" i="4"/>
  <c r="G59" i="4" s="1"/>
  <c r="E58" i="4"/>
  <c r="G58" i="4" s="1"/>
  <c r="E40" i="4"/>
  <c r="G40" i="4" s="1"/>
  <c r="E39" i="4"/>
  <c r="G39" i="4" s="1"/>
  <c r="E38" i="4"/>
  <c r="G38" i="4" s="1"/>
  <c r="H38" i="4" s="1"/>
  <c r="I38" i="4" s="1"/>
  <c r="J38" i="4" s="1"/>
  <c r="K38" i="4" s="1"/>
  <c r="E19" i="4"/>
  <c r="G19" i="4" s="1"/>
  <c r="E18" i="4"/>
  <c r="G18" i="4" s="1"/>
  <c r="H18" i="4" s="1"/>
  <c r="I18" i="4" s="1"/>
  <c r="J18" i="4" s="1"/>
  <c r="K18" i="4" s="1"/>
  <c r="E17" i="4"/>
  <c r="G17" i="4" s="1"/>
  <c r="E16" i="4"/>
  <c r="G16" i="4" s="1"/>
  <c r="E10" i="4"/>
  <c r="G10" i="4" s="1"/>
  <c r="H10" i="4" s="1"/>
  <c r="I10" i="4" s="1"/>
  <c r="J10" i="4" s="1"/>
  <c r="K10" i="4" s="1"/>
  <c r="E9" i="4"/>
  <c r="G9" i="4" s="1"/>
  <c r="H9" i="4" s="1"/>
  <c r="I9" i="4" s="1"/>
  <c r="J9" i="4" s="1"/>
  <c r="K9" i="4" s="1"/>
  <c r="E8" i="4"/>
  <c r="G8" i="4" s="1"/>
  <c r="E7" i="4"/>
  <c r="G7" i="4" s="1"/>
  <c r="H7" i="4" s="1"/>
  <c r="I7" i="4" s="1"/>
  <c r="J7" i="4" s="1"/>
  <c r="K7" i="4" s="1"/>
  <c r="E77" i="4"/>
  <c r="G77" i="4" s="1"/>
  <c r="E78" i="4"/>
  <c r="G78" i="4" s="1"/>
  <c r="E79" i="4"/>
  <c r="G79" i="4" s="1"/>
  <c r="E80" i="4"/>
  <c r="G80" i="4" s="1"/>
  <c r="E81" i="4"/>
  <c r="G81" i="4" s="1"/>
  <c r="E82" i="4"/>
  <c r="G82" i="4" s="1"/>
  <c r="E83" i="4"/>
  <c r="G83" i="4" s="1"/>
  <c r="E84" i="4"/>
  <c r="G84" i="4" s="1"/>
  <c r="E89" i="4"/>
  <c r="G89" i="4" s="1"/>
  <c r="E90" i="4"/>
  <c r="G90" i="4" s="1"/>
  <c r="E91" i="4"/>
  <c r="G91" i="4" s="1"/>
  <c r="E92" i="4"/>
  <c r="G92" i="4" s="1"/>
  <c r="E93" i="4"/>
  <c r="G93" i="4" s="1"/>
  <c r="E94" i="4"/>
  <c r="G94" i="4" s="1"/>
  <c r="H94" i="4" s="1"/>
  <c r="I94" i="4" s="1"/>
  <c r="J94" i="4" s="1"/>
  <c r="K94" i="4" s="1"/>
  <c r="E95" i="4"/>
  <c r="G95" i="4" s="1"/>
  <c r="E96" i="4"/>
  <c r="G96" i="4" s="1"/>
  <c r="H96" i="4" s="1"/>
  <c r="I96" i="4" s="1"/>
  <c r="J96" i="4" s="1"/>
  <c r="K96" i="4" s="1"/>
  <c r="E97" i="4"/>
  <c r="G97" i="4" s="1"/>
  <c r="H97" i="4" s="1"/>
  <c r="I97" i="4" s="1"/>
  <c r="J97" i="4" s="1"/>
  <c r="K97" i="4" s="1"/>
  <c r="E98" i="4"/>
  <c r="G98" i="4" s="1"/>
  <c r="E99" i="4"/>
  <c r="G99" i="4" s="1"/>
  <c r="H99" i="4" s="1"/>
  <c r="I99" i="4" s="1"/>
  <c r="J99" i="4" s="1"/>
  <c r="K99" i="4" s="1"/>
  <c r="E100" i="4"/>
  <c r="G100" i="4" s="1"/>
  <c r="H100" i="4" s="1"/>
  <c r="I100" i="4" s="1"/>
  <c r="J100" i="4" s="1"/>
  <c r="K100" i="4" s="1"/>
  <c r="E101" i="4"/>
  <c r="G101" i="4" s="1"/>
  <c r="E102" i="4"/>
  <c r="G102" i="4" s="1"/>
  <c r="E103" i="4"/>
  <c r="G103" i="4" s="1"/>
  <c r="E109" i="4"/>
  <c r="G109" i="4" s="1"/>
  <c r="E110" i="4"/>
  <c r="G110" i="4" s="1"/>
  <c r="E111" i="4"/>
  <c r="G111" i="4" s="1"/>
  <c r="H111" i="4" s="1"/>
  <c r="I111" i="4" s="1"/>
  <c r="J111" i="4" s="1"/>
  <c r="K111" i="4" s="1"/>
  <c r="E112" i="4"/>
  <c r="G112" i="4" s="1"/>
  <c r="H112" i="4" s="1"/>
  <c r="I112" i="4" s="1"/>
  <c r="J112" i="4" s="1"/>
  <c r="K112" i="4" s="1"/>
  <c r="E113" i="4"/>
  <c r="G113" i="4" s="1"/>
  <c r="H113" i="4" s="1"/>
  <c r="I113" i="4" s="1"/>
  <c r="J113" i="4" s="1"/>
  <c r="K113" i="4" s="1"/>
  <c r="E114" i="4"/>
  <c r="G114" i="4" s="1"/>
  <c r="H114" i="4" s="1"/>
  <c r="I114" i="4" s="1"/>
  <c r="J114" i="4" s="1"/>
  <c r="K114" i="4" s="1"/>
  <c r="E115" i="4"/>
  <c r="G115" i="4" s="1"/>
  <c r="E116" i="4"/>
  <c r="G116" i="4" s="1"/>
  <c r="H116" i="4" s="1"/>
  <c r="I116" i="4" s="1"/>
  <c r="J116" i="4" s="1"/>
  <c r="K116" i="4" s="1"/>
  <c r="E117" i="4"/>
  <c r="G117" i="4" s="1"/>
  <c r="H117" i="4" s="1"/>
  <c r="I117" i="4" s="1"/>
  <c r="J117" i="4" s="1"/>
  <c r="K117" i="4" s="1"/>
  <c r="E118" i="4"/>
  <c r="G118" i="4" s="1"/>
  <c r="H118" i="4" s="1"/>
  <c r="I118" i="4" s="1"/>
  <c r="J118" i="4" s="1"/>
  <c r="K118" i="4" s="1"/>
  <c r="E119" i="4"/>
  <c r="G119" i="4" s="1"/>
  <c r="E120" i="4"/>
  <c r="G120" i="4" s="1"/>
  <c r="E121" i="4"/>
  <c r="G121" i="4" s="1"/>
  <c r="E122" i="4"/>
  <c r="G122" i="4" s="1"/>
  <c r="H122" i="4" s="1"/>
  <c r="I122" i="4" s="1"/>
  <c r="J122" i="4" s="1"/>
  <c r="K122" i="4" s="1"/>
  <c r="E123" i="4"/>
  <c r="G123" i="4" s="1"/>
  <c r="H123" i="4" s="1"/>
  <c r="I123" i="4" s="1"/>
  <c r="J123" i="4" s="1"/>
  <c r="K123" i="4" s="1"/>
  <c r="E124" i="4"/>
  <c r="G124" i="4" s="1"/>
  <c r="E184" i="4"/>
  <c r="G184" i="4" s="1"/>
  <c r="E185" i="4"/>
  <c r="G185" i="4" s="1"/>
  <c r="E186" i="4"/>
  <c r="G186" i="4" s="1"/>
  <c r="E187" i="4"/>
  <c r="G187" i="4" s="1"/>
  <c r="E188" i="4"/>
  <c r="G188" i="4" s="1"/>
  <c r="E189" i="4"/>
  <c r="G189" i="4" s="1"/>
  <c r="E190" i="4"/>
  <c r="E191" i="4"/>
  <c r="E192" i="4"/>
  <c r="E193" i="4"/>
  <c r="E198" i="4"/>
  <c r="G198" i="4" s="1"/>
  <c r="E199" i="4"/>
  <c r="G199" i="4" s="1"/>
  <c r="E200" i="4"/>
  <c r="G200" i="4" s="1"/>
  <c r="E201" i="4"/>
  <c r="G201" i="4" s="1"/>
  <c r="E202" i="4"/>
  <c r="G202" i="4" s="1"/>
  <c r="E203" i="4"/>
  <c r="G203" i="4" s="1"/>
  <c r="E204" i="4"/>
  <c r="G204" i="4" s="1"/>
  <c r="E205" i="4"/>
  <c r="G205" i="4" s="1"/>
  <c r="E206" i="4"/>
  <c r="G206" i="4" s="1"/>
  <c r="E207" i="4"/>
  <c r="G207" i="4" s="1"/>
  <c r="G66" i="4"/>
  <c r="G88" i="4"/>
  <c r="H88" i="4" s="1"/>
  <c r="I88" i="4" s="1"/>
  <c r="J88" i="4" s="1"/>
  <c r="K88" i="4" s="1"/>
  <c r="G145" i="4"/>
  <c r="G144" i="4"/>
  <c r="N20" i="3"/>
  <c r="H223" i="4"/>
  <c r="I223" i="4" s="1"/>
  <c r="J223" i="4" s="1"/>
  <c r="K223" i="4" s="1"/>
  <c r="G108" i="4"/>
  <c r="G52" i="4"/>
  <c r="G76" i="4"/>
  <c r="G45" i="4"/>
  <c r="G46" i="4"/>
  <c r="H46" i="4" s="1"/>
  <c r="I46" i="4" s="1"/>
  <c r="J46" i="4" s="1"/>
  <c r="K46" i="4" s="1"/>
  <c r="G50" i="4"/>
  <c r="G49" i="4"/>
  <c r="G51" i="4"/>
  <c r="H51" i="4" s="1"/>
  <c r="I51" i="4" s="1"/>
  <c r="J51" i="4" s="1"/>
  <c r="K51" i="4" s="1"/>
  <c r="G48" i="4"/>
  <c r="H48" i="4" s="1"/>
  <c r="I48" i="4" s="1"/>
  <c r="J48" i="4" s="1"/>
  <c r="K48" i="4" s="1"/>
  <c r="G47" i="4"/>
  <c r="G55" i="4"/>
  <c r="H210" i="4"/>
  <c r="I210" i="4"/>
  <c r="J210" i="4" s="1"/>
  <c r="K210" i="4" s="1"/>
  <c r="H191" i="4"/>
  <c r="I191" i="4"/>
  <c r="J191" i="4" s="1"/>
  <c r="K191" i="4" s="1"/>
  <c r="H17" i="4"/>
  <c r="I17" i="4" s="1"/>
  <c r="J17" i="4" s="1"/>
  <c r="K17" i="4" s="1"/>
  <c r="H78" i="4"/>
  <c r="I78" i="4" s="1"/>
  <c r="J78" i="4" s="1"/>
  <c r="K78" i="4" s="1"/>
  <c r="H215" i="4"/>
  <c r="I215" i="4" s="1"/>
  <c r="J215" i="4" s="1"/>
  <c r="K215" i="4" s="1"/>
  <c r="H220" i="4"/>
  <c r="I220" i="4" s="1"/>
  <c r="J220" i="4" s="1"/>
  <c r="K220" i="4" s="1"/>
  <c r="H32" i="4"/>
  <c r="I32" i="4" s="1"/>
  <c r="J32" i="4" s="1"/>
  <c r="K32" i="4" s="1"/>
  <c r="H33" i="4"/>
  <c r="I33" i="4" s="1"/>
  <c r="J33" i="4" s="1"/>
  <c r="K33" i="4" s="1"/>
  <c r="M33" i="4" s="1"/>
  <c r="N33" i="4" s="1"/>
  <c r="N34" i="4" s="1"/>
  <c r="H83" i="4"/>
  <c r="I83" i="4" s="1"/>
  <c r="J83" i="4" s="1"/>
  <c r="K83" i="4" s="1"/>
  <c r="H55" i="4"/>
  <c r="I55" i="4" s="1"/>
  <c r="J55" i="4" s="1"/>
  <c r="K55" i="4" s="1"/>
  <c r="G155" i="4"/>
  <c r="G153" i="4"/>
  <c r="G151" i="4"/>
  <c r="G149" i="4"/>
  <c r="H149" i="4" s="1"/>
  <c r="I149" i="4" s="1"/>
  <c r="J149" i="4" s="1"/>
  <c r="K149" i="4" s="1"/>
  <c r="G147" i="4"/>
  <c r="G156" i="4"/>
  <c r="H156" i="4" s="1"/>
  <c r="I156" i="4" s="1"/>
  <c r="J156" i="4" s="1"/>
  <c r="K156" i="4" s="1"/>
  <c r="G154" i="4"/>
  <c r="G152" i="4"/>
  <c r="H152" i="4" s="1"/>
  <c r="I152" i="4" s="1"/>
  <c r="J152" i="4" s="1"/>
  <c r="K152" i="4" s="1"/>
  <c r="G150" i="4"/>
  <c r="H77" i="4" l="1"/>
  <c r="I77" i="4" s="1"/>
  <c r="J77" i="4" s="1"/>
  <c r="K77" i="4" s="1"/>
  <c r="H109" i="4"/>
  <c r="I109" i="4" s="1"/>
  <c r="J109" i="4" s="1"/>
  <c r="K109" i="4" s="1"/>
  <c r="G125" i="4"/>
  <c r="H125" i="4" s="1"/>
  <c r="I125" i="4" s="1"/>
  <c r="J125" i="4" s="1"/>
  <c r="K125" i="4" s="1"/>
  <c r="H49" i="4"/>
  <c r="I49" i="4" s="1"/>
  <c r="J49" i="4" s="1"/>
  <c r="K49" i="4" s="1"/>
  <c r="H67" i="4"/>
  <c r="I67" i="4" s="1"/>
  <c r="J67" i="4" s="1"/>
  <c r="K67" i="4" s="1"/>
  <c r="H214" i="4"/>
  <c r="I214" i="4" s="1"/>
  <c r="J214" i="4" s="1"/>
  <c r="K214" i="4" s="1"/>
  <c r="H195" i="4"/>
  <c r="I195" i="4" s="1"/>
  <c r="J195" i="4" s="1"/>
  <c r="K195" i="4" s="1"/>
  <c r="H153" i="4"/>
  <c r="I153" i="4" s="1"/>
  <c r="J153" i="4" s="1"/>
  <c r="K153" i="4" s="1"/>
  <c r="H50" i="4"/>
  <c r="I50" i="4" s="1"/>
  <c r="J50" i="4" s="1"/>
  <c r="K50" i="4" s="1"/>
  <c r="H185" i="4"/>
  <c r="I185" i="4" s="1"/>
  <c r="J185" i="4" s="1"/>
  <c r="K185" i="4" s="1"/>
  <c r="H98" i="4"/>
  <c r="I98" i="4" s="1"/>
  <c r="J98" i="4" s="1"/>
  <c r="K98" i="4" s="1"/>
  <c r="H160" i="4"/>
  <c r="I160" i="4" s="1"/>
  <c r="J160" i="4" s="1"/>
  <c r="K160" i="4" s="1"/>
  <c r="H181" i="4"/>
  <c r="I181" i="4" s="1"/>
  <c r="J181" i="4" s="1"/>
  <c r="K181" i="4" s="1"/>
  <c r="H43" i="4"/>
  <c r="I43" i="4" s="1"/>
  <c r="J43" i="4" s="1"/>
  <c r="K43" i="4" s="1"/>
  <c r="H155" i="4"/>
  <c r="I155" i="4" s="1"/>
  <c r="J155" i="4" s="1"/>
  <c r="K155" i="4" s="1"/>
  <c r="H200" i="4"/>
  <c r="I200" i="4" s="1"/>
  <c r="J200" i="4" s="1"/>
  <c r="K200" i="4" s="1"/>
  <c r="H184" i="4"/>
  <c r="I184" i="4" s="1"/>
  <c r="J184" i="4" s="1"/>
  <c r="K184" i="4" s="1"/>
  <c r="H19" i="4"/>
  <c r="I19" i="4" s="1"/>
  <c r="J19" i="4" s="1"/>
  <c r="K19" i="4" s="1"/>
  <c r="H58" i="4"/>
  <c r="I58" i="4" s="1"/>
  <c r="J58" i="4" s="1"/>
  <c r="K58" i="4" s="1"/>
  <c r="H80" i="4"/>
  <c r="I80" i="4" s="1"/>
  <c r="J80" i="4" s="1"/>
  <c r="K80" i="4" s="1"/>
  <c r="H63" i="4"/>
  <c r="I63" i="4" s="1"/>
  <c r="J63" i="4" s="1"/>
  <c r="K63" i="4" s="1"/>
  <c r="H175" i="4"/>
  <c r="I175" i="4" s="1"/>
  <c r="J175" i="4" s="1"/>
  <c r="K175" i="4" s="1"/>
  <c r="H193" i="4"/>
  <c r="I193" i="4" s="1"/>
  <c r="J193" i="4" s="1"/>
  <c r="K193" i="4" s="1"/>
  <c r="H26" i="4"/>
  <c r="I26" i="4" s="1"/>
  <c r="J26" i="4" s="1"/>
  <c r="K26" i="4" s="1"/>
  <c r="H199" i="4"/>
  <c r="I199" i="4" s="1"/>
  <c r="J199" i="4" s="1"/>
  <c r="K199" i="4" s="1"/>
  <c r="H71" i="4"/>
  <c r="I71" i="4" s="1"/>
  <c r="J71" i="4" s="1"/>
  <c r="K71" i="4" s="1"/>
  <c r="H59" i="4"/>
  <c r="I59" i="4" s="1"/>
  <c r="J59" i="4" s="1"/>
  <c r="K59" i="4" s="1"/>
  <c r="H81" i="4"/>
  <c r="I81" i="4" s="1"/>
  <c r="J81" i="4" s="1"/>
  <c r="K81" i="4" s="1"/>
  <c r="H134" i="4"/>
  <c r="I134" i="4" s="1"/>
  <c r="J134" i="4" s="1"/>
  <c r="K134" i="4" s="1"/>
  <c r="H12" i="4"/>
  <c r="I12" i="4" s="1"/>
  <c r="J12" i="4" s="1"/>
  <c r="K12" i="4" s="1"/>
  <c r="H144" i="4"/>
  <c r="I144" i="4" s="1"/>
  <c r="J144" i="4" s="1"/>
  <c r="K144" i="4" s="1"/>
  <c r="H79" i="4"/>
  <c r="I79" i="4" s="1"/>
  <c r="J79" i="4" s="1"/>
  <c r="K79" i="4" s="1"/>
  <c r="H39" i="4"/>
  <c r="I39" i="4" s="1"/>
  <c r="J39" i="4" s="1"/>
  <c r="K39" i="4" s="1"/>
  <c r="H72" i="4"/>
  <c r="I72" i="4" s="1"/>
  <c r="J72" i="4" s="1"/>
  <c r="K72" i="4" s="1"/>
  <c r="H60" i="4"/>
  <c r="I60" i="4" s="1"/>
  <c r="J60" i="4" s="1"/>
  <c r="K60" i="4" s="1"/>
  <c r="G157" i="4"/>
  <c r="H157" i="4" s="1"/>
  <c r="I157" i="4" s="1"/>
  <c r="J157" i="4" s="1"/>
  <c r="K157" i="4" s="1"/>
  <c r="H40" i="4"/>
  <c r="I40" i="4" s="1"/>
  <c r="J40" i="4" s="1"/>
  <c r="K40" i="4" s="1"/>
  <c r="H73" i="4"/>
  <c r="I73" i="4" s="1"/>
  <c r="J73" i="4" s="1"/>
  <c r="K73" i="4" s="1"/>
  <c r="H147" i="4"/>
  <c r="I147" i="4" s="1"/>
  <c r="J147" i="4" s="1"/>
  <c r="K147" i="4" s="1"/>
  <c r="H158" i="4"/>
  <c r="I158" i="4" s="1"/>
  <c r="J158" i="4" s="1"/>
  <c r="K158" i="4" s="1"/>
  <c r="H207" i="4"/>
  <c r="I207" i="4" s="1"/>
  <c r="J207" i="4" s="1"/>
  <c r="K207" i="4" s="1"/>
  <c r="H8" i="4"/>
  <c r="I8" i="4" s="1"/>
  <c r="J8" i="4" s="1"/>
  <c r="K8" i="4" s="1"/>
  <c r="H41" i="4"/>
  <c r="I41" i="4" s="1"/>
  <c r="J41" i="4" s="1"/>
  <c r="K41" i="4" s="1"/>
  <c r="H120" i="4"/>
  <c r="I120" i="4" s="1"/>
  <c r="J120" i="4" s="1"/>
  <c r="K120" i="4" s="1"/>
  <c r="H52" i="4"/>
  <c r="I52" i="4" s="1"/>
  <c r="J52" i="4" s="1"/>
  <c r="K52" i="4" s="1"/>
  <c r="H189" i="4"/>
  <c r="I189" i="4" s="1"/>
  <c r="J189" i="4" s="1"/>
  <c r="K189" i="4" s="1"/>
  <c r="H103" i="4"/>
  <c r="I103" i="4" s="1"/>
  <c r="J103" i="4" s="1"/>
  <c r="K103" i="4" s="1"/>
  <c r="H91" i="4"/>
  <c r="I91" i="4" s="1"/>
  <c r="J91" i="4" s="1"/>
  <c r="K91" i="4" s="1"/>
  <c r="H45" i="4"/>
  <c r="I45" i="4" s="1"/>
  <c r="J45" i="4" s="1"/>
  <c r="K45" i="4" s="1"/>
  <c r="H68" i="4"/>
  <c r="I68" i="4" s="1"/>
  <c r="J68" i="4" s="1"/>
  <c r="K68" i="4" s="1"/>
  <c r="H110" i="4"/>
  <c r="I110" i="4" s="1"/>
  <c r="J110" i="4" s="1"/>
  <c r="K110" i="4" s="1"/>
  <c r="H21" i="4"/>
  <c r="I21" i="4" s="1"/>
  <c r="J21" i="4" s="1"/>
  <c r="K21" i="4" s="1"/>
  <c r="H121" i="4"/>
  <c r="I121" i="4" s="1"/>
  <c r="J121" i="4" s="1"/>
  <c r="K121" i="4" s="1"/>
  <c r="H93" i="4"/>
  <c r="I93" i="4" s="1"/>
  <c r="J93" i="4" s="1"/>
  <c r="K93" i="4" s="1"/>
  <c r="H192" i="4"/>
  <c r="I192" i="4" s="1"/>
  <c r="J192" i="4" s="1"/>
  <c r="K192" i="4" s="1"/>
  <c r="H221" i="4"/>
  <c r="I221" i="4" s="1"/>
  <c r="J221" i="4" s="1"/>
  <c r="K221" i="4" s="1"/>
  <c r="H204" i="4"/>
  <c r="I204" i="4" s="1"/>
  <c r="J204" i="4" s="1"/>
  <c r="K204" i="4" s="1"/>
  <c r="H188" i="4"/>
  <c r="I188" i="4" s="1"/>
  <c r="J188" i="4" s="1"/>
  <c r="K188" i="4" s="1"/>
  <c r="H84" i="4"/>
  <c r="I84" i="4" s="1"/>
  <c r="J84" i="4" s="1"/>
  <c r="K84" i="4" s="1"/>
  <c r="H25" i="4"/>
  <c r="I25" i="4" s="1"/>
  <c r="J25" i="4" s="1"/>
  <c r="K25" i="4" s="1"/>
  <c r="H145" i="4"/>
  <c r="I145" i="4" s="1"/>
  <c r="J145" i="4" s="1"/>
  <c r="K145" i="4" s="1"/>
  <c r="H141" i="4"/>
  <c r="I141" i="4" s="1"/>
  <c r="J141" i="4" s="1"/>
  <c r="K141" i="4" s="1"/>
  <c r="H76" i="4"/>
  <c r="I76" i="4" s="1"/>
  <c r="J76" i="4" s="1"/>
  <c r="K76" i="4" s="1"/>
  <c r="H176" i="4"/>
  <c r="I176" i="4" s="1"/>
  <c r="J176" i="4" s="1"/>
  <c r="K176" i="4" s="1"/>
  <c r="H203" i="4"/>
  <c r="I203" i="4" s="1"/>
  <c r="J203" i="4" s="1"/>
  <c r="K203" i="4" s="1"/>
  <c r="H187" i="4"/>
  <c r="I187" i="4" s="1"/>
  <c r="J187" i="4" s="1"/>
  <c r="K187" i="4" s="1"/>
  <c r="H101" i="4"/>
  <c r="I101" i="4" s="1"/>
  <c r="J101" i="4" s="1"/>
  <c r="K101" i="4" s="1"/>
  <c r="H89" i="4"/>
  <c r="I89" i="4" s="1"/>
  <c r="J89" i="4" s="1"/>
  <c r="K89" i="4" s="1"/>
  <c r="H74" i="4"/>
  <c r="I74" i="4" s="1"/>
  <c r="J74" i="4" s="1"/>
  <c r="K74" i="4" s="1"/>
  <c r="H150" i="4"/>
  <c r="I150" i="4" s="1"/>
  <c r="J150" i="4" s="1"/>
  <c r="K150" i="4" s="1"/>
  <c r="H211" i="4"/>
  <c r="I211" i="4" s="1"/>
  <c r="J211" i="4" s="1"/>
  <c r="K211" i="4" s="1"/>
  <c r="H22" i="4"/>
  <c r="I22" i="4" s="1"/>
  <c r="J22" i="4" s="1"/>
  <c r="K22" i="4" s="1"/>
  <c r="H54" i="4"/>
  <c r="I54" i="4" s="1"/>
  <c r="J54" i="4" s="1"/>
  <c r="K54" i="4" s="1"/>
  <c r="H105" i="4"/>
  <c r="I105" i="4" s="1"/>
  <c r="J105" i="4" s="1"/>
  <c r="K105" i="4" s="1"/>
  <c r="H202" i="4"/>
  <c r="I202" i="4" s="1"/>
  <c r="J202" i="4" s="1"/>
  <c r="K202" i="4" s="1"/>
  <c r="H186" i="4"/>
  <c r="I186" i="4" s="1"/>
  <c r="J186" i="4" s="1"/>
  <c r="K186" i="4" s="1"/>
  <c r="H69" i="4"/>
  <c r="I69" i="4" s="1"/>
  <c r="J69" i="4" s="1"/>
  <c r="K69" i="4" s="1"/>
  <c r="H20" i="4"/>
  <c r="I20" i="4" s="1"/>
  <c r="J20" i="4" s="1"/>
  <c r="K20" i="4" s="1"/>
  <c r="H106" i="4"/>
  <c r="I106" i="4" s="1"/>
  <c r="J106" i="4" s="1"/>
  <c r="K106" i="4" s="1"/>
  <c r="H161" i="4"/>
  <c r="I161" i="4" s="1"/>
  <c r="J161" i="4" s="1"/>
  <c r="K161" i="4" s="1"/>
  <c r="H137" i="4"/>
  <c r="I137" i="4" s="1"/>
  <c r="J137" i="4" s="1"/>
  <c r="K137" i="4" s="1"/>
  <c r="H190" i="4"/>
  <c r="I190" i="4" s="1"/>
  <c r="J190" i="4" s="1"/>
  <c r="K190" i="4" s="1"/>
  <c r="H206" i="4"/>
  <c r="I206" i="4" s="1"/>
  <c r="J206" i="4" s="1"/>
  <c r="K206" i="4" s="1"/>
  <c r="H62" i="4"/>
  <c r="I62" i="4" s="1"/>
  <c r="J62" i="4" s="1"/>
  <c r="K62" i="4" s="1"/>
  <c r="H201" i="4"/>
  <c r="I201" i="4" s="1"/>
  <c r="J201" i="4" s="1"/>
  <c r="K201" i="4" s="1"/>
  <c r="H162" i="4"/>
  <c r="I162" i="4" s="1"/>
  <c r="J162" i="4" s="1"/>
  <c r="K162" i="4" s="1"/>
  <c r="H138" i="4"/>
  <c r="I138" i="4" s="1"/>
  <c r="J138" i="4" s="1"/>
  <c r="K138" i="4" s="1"/>
  <c r="H126" i="4"/>
  <c r="I126" i="4" s="1"/>
  <c r="J126" i="4" s="1"/>
  <c r="K126" i="4" s="1"/>
  <c r="H139" i="4"/>
  <c r="I139" i="4" s="1"/>
  <c r="J139" i="4" s="1"/>
  <c r="K139" i="4" s="1"/>
  <c r="H140" i="4"/>
  <c r="I140" i="4" s="1"/>
  <c r="J140" i="4" s="1"/>
  <c r="K140" i="4" s="1"/>
  <c r="H108" i="4"/>
  <c r="I108" i="4" s="1"/>
  <c r="J108" i="4" s="1"/>
  <c r="K108" i="4" s="1"/>
  <c r="H92" i="4"/>
  <c r="I92" i="4" s="1"/>
  <c r="J92" i="4" s="1"/>
  <c r="K92" i="4" s="1"/>
  <c r="O17" i="3"/>
  <c r="O20" i="3" s="1"/>
  <c r="H227" i="4"/>
  <c r="I227" i="4" s="1"/>
  <c r="J227" i="4" s="1"/>
  <c r="K227" i="4" s="1"/>
  <c r="H29" i="4"/>
  <c r="I29" i="4" s="1"/>
  <c r="J29" i="4" s="1"/>
  <c r="K29" i="4" s="1"/>
  <c r="O16" i="3"/>
  <c r="P20" i="3"/>
  <c r="H119" i="4"/>
  <c r="I119" i="4" s="1"/>
  <c r="J119" i="4" s="1"/>
  <c r="K119" i="4" s="1"/>
  <c r="H102" i="4"/>
  <c r="I102" i="4" s="1"/>
  <c r="J102" i="4" s="1"/>
  <c r="K102" i="4" s="1"/>
  <c r="H90" i="4"/>
  <c r="I90" i="4" s="1"/>
  <c r="J90" i="4" s="1"/>
  <c r="K90" i="4" s="1"/>
  <c r="H124" i="4"/>
  <c r="I124" i="4" s="1"/>
  <c r="J124" i="4" s="1"/>
  <c r="K124" i="4" s="1"/>
  <c r="H16" i="4"/>
  <c r="I16" i="4" s="1"/>
  <c r="J16" i="4" s="1"/>
  <c r="K16" i="4" s="1"/>
  <c r="H198" i="4"/>
  <c r="I198" i="4" s="1"/>
  <c r="J198" i="4" s="1"/>
  <c r="K198" i="4" s="1"/>
  <c r="H218" i="4"/>
  <c r="I218" i="4" s="1"/>
  <c r="J218" i="4" s="1"/>
  <c r="K218" i="4" s="1"/>
  <c r="H15" i="4"/>
  <c r="I15" i="4" s="1"/>
  <c r="J15" i="4" s="1"/>
  <c r="K15" i="4" s="1"/>
  <c r="H47" i="4"/>
  <c r="I47" i="4" s="1"/>
  <c r="J47" i="4" s="1"/>
  <c r="K47" i="4" s="1"/>
  <c r="H95" i="4"/>
  <c r="I95" i="4" s="1"/>
  <c r="J95" i="4" s="1"/>
  <c r="K95" i="4" s="1"/>
  <c r="G146" i="4"/>
  <c r="H146" i="4" s="1"/>
  <c r="I146" i="4" s="1"/>
  <c r="J146" i="4" s="1"/>
  <c r="K146" i="4" s="1"/>
  <c r="H205" i="4"/>
  <c r="I205" i="4" s="1"/>
  <c r="J205" i="4" s="1"/>
  <c r="K205" i="4" s="1"/>
  <c r="H224" i="4"/>
  <c r="I224" i="4" s="1"/>
  <c r="J224" i="4" s="1"/>
  <c r="K224" i="4" s="1"/>
  <c r="H104" i="4"/>
  <c r="I104" i="4" s="1"/>
  <c r="J104" i="4" s="1"/>
  <c r="K104" i="4" s="1"/>
  <c r="H6" i="4"/>
  <c r="I6" i="4" s="1"/>
  <c r="J6" i="4" s="1"/>
  <c r="K6" i="4" s="1"/>
  <c r="M9" i="4" s="1"/>
  <c r="H13" i="4"/>
  <c r="I13" i="4" s="1"/>
  <c r="J13" i="4" s="1"/>
  <c r="K13" i="4" s="1"/>
  <c r="M11" i="4" s="1"/>
</calcChain>
</file>

<file path=xl/sharedStrings.xml><?xml version="1.0" encoding="utf-8"?>
<sst xmlns="http://schemas.openxmlformats.org/spreadsheetml/2006/main" count="359" uniqueCount="170">
  <si>
    <t>Sl. No.</t>
  </si>
  <si>
    <t>Tariff Category</t>
  </si>
  <si>
    <t>Type of installation</t>
  </si>
  <si>
    <t xml:space="preserve">Applicable to areas coming under Bangalore </t>
  </si>
  <si>
    <t xml:space="preserve">Metropolitan area comprising of BMP </t>
  </si>
  <si>
    <t>, all CMCs and Kengeri TMC</t>
  </si>
  <si>
    <t>Applicable to areas under urban Llocal Bodies</t>
  </si>
  <si>
    <t>including City Corporations</t>
  </si>
  <si>
    <t>LT-5(a)</t>
  </si>
  <si>
    <t>Applicable to Bangalore Metropolitan Area</t>
  </si>
  <si>
    <t>LT-5(b)</t>
  </si>
  <si>
    <t xml:space="preserve">Applicable to areas other than Bangalore </t>
  </si>
  <si>
    <t>Water Supply</t>
  </si>
  <si>
    <t xml:space="preserve">Street Light/ Public Lighting installations </t>
  </si>
  <si>
    <t>HT SUPPLY - 11KV &amp; above</t>
  </si>
  <si>
    <t>HT-1</t>
  </si>
  <si>
    <t>Public Water Supply &amp; Sewerage</t>
  </si>
  <si>
    <t>Pumping Installations</t>
  </si>
  <si>
    <t xml:space="preserve">Metropolitan area </t>
  </si>
  <si>
    <t>Dept/Govt. owned Corp.</t>
  </si>
  <si>
    <t xml:space="preserve">Irrigation &amp; Agricultural farms, </t>
  </si>
  <si>
    <t>Government horticulture farms,</t>
  </si>
  <si>
    <t>Private Horticuture Nursuries,</t>
  </si>
  <si>
    <t xml:space="preserve">Coffee,Tea, Coconut </t>
  </si>
  <si>
    <t>&amp; Arecanut Plantations</t>
  </si>
  <si>
    <t>Sanctioned load</t>
  </si>
  <si>
    <t>Estimated units</t>
  </si>
  <si>
    <t>Fixed charges</t>
  </si>
  <si>
    <t>2MMD to be collected</t>
  </si>
  <si>
    <t>240 watts</t>
  </si>
  <si>
    <t>241 -500 watts</t>
  </si>
  <si>
    <t>501-750 watts</t>
  </si>
  <si>
    <t>751-1000 watts</t>
  </si>
  <si>
    <t>1KW</t>
  </si>
  <si>
    <t>2KW</t>
  </si>
  <si>
    <t>3KW</t>
  </si>
  <si>
    <t>4KW</t>
  </si>
  <si>
    <t>5KW</t>
  </si>
  <si>
    <t>(Commercial Lighting only)</t>
  </si>
  <si>
    <t xml:space="preserve">(Commercial Lighting only) </t>
  </si>
  <si>
    <t>Applicables to areas coming under Village</t>
  </si>
  <si>
    <t>panchayaths</t>
  </si>
  <si>
    <t>(Motive power only)</t>
  </si>
  <si>
    <t>2HP</t>
  </si>
  <si>
    <t>3HP</t>
  </si>
  <si>
    <t>4HP</t>
  </si>
  <si>
    <t>5HP</t>
  </si>
  <si>
    <t>7.5HP</t>
  </si>
  <si>
    <t>10HP</t>
  </si>
  <si>
    <t>15HP</t>
  </si>
  <si>
    <t>20HP</t>
  </si>
  <si>
    <t>1HP</t>
  </si>
  <si>
    <t xml:space="preserve">Applicable to Bangalore Metropolitan Area AND </t>
  </si>
  <si>
    <t>25HP</t>
  </si>
  <si>
    <t>39HP</t>
  </si>
  <si>
    <t>40HP</t>
  </si>
  <si>
    <t>66HP</t>
  </si>
  <si>
    <t>67HP</t>
  </si>
  <si>
    <t>70HP</t>
  </si>
  <si>
    <t>80HP</t>
  </si>
  <si>
    <t>100HP</t>
  </si>
  <si>
    <t xml:space="preserve">Applicable to areas not covered under LT5(a) </t>
  </si>
  <si>
    <t>(Demand Based tariff only)</t>
  </si>
  <si>
    <t>per HP</t>
  </si>
  <si>
    <t>Per Kw</t>
  </si>
  <si>
    <t>IP consumers with 10HP and below</t>
  </si>
  <si>
    <t>LT-4(a)(i)</t>
  </si>
  <si>
    <t>Per HP</t>
  </si>
  <si>
    <t>LT-4 (b)</t>
  </si>
  <si>
    <t>IP sets above 10 HP</t>
  </si>
  <si>
    <t>100KVA</t>
  </si>
  <si>
    <t>200KVA</t>
  </si>
  <si>
    <t>300KVA</t>
  </si>
  <si>
    <t>500KVA</t>
  </si>
  <si>
    <t>750KVA</t>
  </si>
  <si>
    <t>1000KVA</t>
  </si>
  <si>
    <t>1500KVA</t>
  </si>
  <si>
    <t>2000KVA</t>
  </si>
  <si>
    <t>3000KVA</t>
  </si>
  <si>
    <t>5000KVA</t>
  </si>
  <si>
    <t>Per KVA</t>
  </si>
  <si>
    <t>Energy charges</t>
  </si>
  <si>
    <t>Total</t>
  </si>
  <si>
    <t xml:space="preserve">Total Bill rounded </t>
  </si>
  <si>
    <t>10 KW</t>
  </si>
  <si>
    <t>25KW</t>
  </si>
  <si>
    <t xml:space="preserve"> Demand based tariff</t>
  </si>
  <si>
    <t>BESCOM</t>
  </si>
  <si>
    <t xml:space="preserve">Applicable to areas coming under Bruhat Bangalore </t>
  </si>
  <si>
    <t xml:space="preserve">Mahanagarapalike(BBMP), Davanagere city </t>
  </si>
  <si>
    <t xml:space="preserve"> Municipal Corporation and all urban Local Bodies</t>
  </si>
  <si>
    <t xml:space="preserve">Mahanagara Palike(BBMP), Davanagere city Municipal </t>
  </si>
  <si>
    <t>Corporation  and all areas under urban local bodies</t>
  </si>
  <si>
    <t>(Calculations done after conerting HP to kW)</t>
  </si>
  <si>
    <t>BMRCL</t>
  </si>
  <si>
    <t>all  corporation</t>
  </si>
  <si>
    <t>HT-4</t>
  </si>
  <si>
    <t>HT Residential Apartments  Applicable to all areas</t>
  </si>
  <si>
    <t>HT-2(c)(I)</t>
  </si>
  <si>
    <t>HT-2(c)(II)</t>
  </si>
  <si>
    <t>Applicable to Hoarding aned Advertizment</t>
  </si>
  <si>
    <t>Per KW</t>
  </si>
  <si>
    <t>min</t>
  </si>
  <si>
    <t>Electric Vehicle charging stations</t>
  </si>
  <si>
    <t>LT</t>
  </si>
  <si>
    <t>HT</t>
  </si>
  <si>
    <t>LT6-C</t>
  </si>
  <si>
    <t xml:space="preserve">Railway traction </t>
  </si>
  <si>
    <t>Effluent treatment</t>
  </si>
  <si>
    <t xml:space="preserve"> Deputy General Manager (RA)</t>
  </si>
  <si>
    <t xml:space="preserve">Private. Horticulture nurseries, </t>
  </si>
  <si>
    <t>coffee, tea and rubber plantations</t>
  </si>
  <si>
    <t>50kW</t>
  </si>
  <si>
    <t>60kW</t>
  </si>
  <si>
    <t>Under EODB</t>
  </si>
  <si>
    <t>EODB</t>
  </si>
  <si>
    <t>100kW</t>
  </si>
  <si>
    <t>200HP</t>
  </si>
  <si>
    <t>500HP</t>
  </si>
  <si>
    <t>67 HP</t>
  </si>
  <si>
    <t>70 HP</t>
  </si>
  <si>
    <t>50KW</t>
  </si>
  <si>
    <t>FC</t>
  </si>
  <si>
    <t>EC</t>
  </si>
  <si>
    <t>Street Light/ Public Lighting installations - LED</t>
  </si>
  <si>
    <t>LT-6a</t>
  </si>
  <si>
    <t>LT-6b</t>
  </si>
  <si>
    <t>LT-3b</t>
  </si>
  <si>
    <t>HT-6</t>
  </si>
  <si>
    <t>kW</t>
  </si>
  <si>
    <t>HP</t>
  </si>
  <si>
    <t>(Calculations done after converting HP to kW)</t>
  </si>
  <si>
    <t>TPDDL</t>
  </si>
  <si>
    <t>BYPL</t>
  </si>
  <si>
    <t>BRPL</t>
  </si>
  <si>
    <t>NDMC</t>
  </si>
  <si>
    <t>Sales MU</t>
  </si>
  <si>
    <t>No. of Consumers</t>
  </si>
  <si>
    <t>Avg.</t>
  </si>
  <si>
    <t>Revenue Crore</t>
  </si>
  <si>
    <t>April</t>
  </si>
  <si>
    <t>CD</t>
  </si>
  <si>
    <t>Consumption</t>
  </si>
  <si>
    <t>Revised tariff</t>
  </si>
  <si>
    <t>Base consumption</t>
  </si>
  <si>
    <t>1 slab</t>
  </si>
  <si>
    <t>2 slab</t>
  </si>
  <si>
    <t>DERS</t>
  </si>
  <si>
    <t>Ready Reckoner, effective from  April -2024</t>
  </si>
  <si>
    <t>LT 1</t>
  </si>
  <si>
    <t xml:space="preserve"> Domestic lighting/combined lighting, heating and motive power installations of residential houses, including BJ/KJ</t>
  </si>
  <si>
    <t>LT 2</t>
  </si>
  <si>
    <t>LT-3(a)</t>
  </si>
  <si>
    <t>LT-3a(II)</t>
  </si>
  <si>
    <t>LT-3a(I)</t>
  </si>
  <si>
    <t>LT-5</t>
  </si>
  <si>
    <t>Applicable to village panchayath</t>
  </si>
  <si>
    <t>Applicable to all areas except village panchayaths</t>
  </si>
  <si>
    <t>HT-2(a)</t>
  </si>
  <si>
    <t>HT-2(b)</t>
  </si>
  <si>
    <t>HT-3</t>
  </si>
  <si>
    <t xml:space="preserve">Applicable to all Lift Irrigation (other than Government schemes covered in HT-7 tariff schedule) </t>
  </si>
  <si>
    <t>HT-7</t>
  </si>
  <si>
    <t>schemes/socities</t>
  </si>
  <si>
    <t xml:space="preserve">Applicable to Government Lift Irrigation </t>
  </si>
  <si>
    <t>LT-4(c )</t>
  </si>
  <si>
    <t>2MMD</t>
  </si>
  <si>
    <t xml:space="preserve"> Installations of Private Professional and other Private Educational Institutions including aided,and unaided education installations, Nursing and  Pvt. Hospitals</t>
  </si>
  <si>
    <t>LT-3</t>
  </si>
  <si>
    <t>LT-2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</si>
</sst>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_);[Red]\(&quot;$&quot;#,##0.00\)"/>
    <numFmt numFmtId="165" formatCode="_(* #,##0_);_(* \(#,##0\);_(* &quot;-&quot;_);_(@_)"/>
    <numFmt numFmtId="166" formatCode="_(* #,##0.00_);_(* \(#,##0.00\);_(* &quot;-&quot;??_);_(@_)"/>
    <numFmt numFmtId="167" formatCode="&quot;Rs.&quot;\ #,##0;&quot;Rs.&quot;\ \-#,##0"/>
    <numFmt numFmtId="168" formatCode="0.0"/>
  </numFmts>
  <fonts count="23" x14ac:knownFonts="1">
    <font>
      <sz val="10"/>
      <name val="Arial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2" fillId="0" borderId="0">
      <alignment horizontal="right" vertical="center"/>
    </xf>
    <xf numFmtId="0" fontId="2" fillId="0" borderId="0">
      <alignment horizontal="right" vertical="center"/>
    </xf>
    <xf numFmtId="0" fontId="2" fillId="0" borderId="0">
      <alignment horizontal="right" vertical="center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1" fillId="0" borderId="0"/>
    <xf numFmtId="0" fontId="2" fillId="0" borderId="0">
      <alignment vertical="top"/>
    </xf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>
      <alignment vertical="top"/>
    </xf>
  </cellStyleXfs>
  <cellXfs count="79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3" fillId="0" borderId="1" xfId="10" applyFont="1" applyBorder="1" applyAlignment="1">
      <alignment vertical="center"/>
    </xf>
    <xf numFmtId="0" fontId="1" fillId="0" borderId="1" xfId="10" applyFont="1" applyBorder="1" applyAlignment="1">
      <alignment vertical="center"/>
    </xf>
    <xf numFmtId="0" fontId="6" fillId="0" borderId="1" xfId="10" applyFont="1" applyBorder="1" applyAlignment="1">
      <alignment vertical="center"/>
    </xf>
    <xf numFmtId="0" fontId="7" fillId="0" borderId="1" xfId="10" applyFont="1" applyBorder="1" applyAlignment="1">
      <alignment vertical="center"/>
    </xf>
    <xf numFmtId="2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8" fillId="2" borderId="1" xfId="1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2" fontId="0" fillId="0" borderId="1" xfId="0" applyNumberFormat="1" applyBorder="1"/>
    <xf numFmtId="0" fontId="1" fillId="0" borderId="1" xfId="10" applyFont="1" applyBorder="1" applyAlignment="1">
      <alignment horizontal="center" vertical="center"/>
    </xf>
    <xf numFmtId="0" fontId="3" fillId="0" borderId="1" xfId="10" applyFont="1" applyBorder="1" applyAlignment="1">
      <alignment horizontal="center" vertical="center"/>
    </xf>
    <xf numFmtId="0" fontId="5" fillId="2" borderId="1" xfId="10" applyFont="1" applyFill="1" applyBorder="1" applyAlignment="1">
      <alignment vertical="center" wrapText="1"/>
    </xf>
    <xf numFmtId="0" fontId="3" fillId="0" borderId="1" xfId="10" applyFont="1" applyBorder="1" applyAlignment="1">
      <alignment vertical="center" wrapText="1"/>
    </xf>
    <xf numFmtId="0" fontId="9" fillId="0" borderId="1" xfId="0" applyFont="1" applyBorder="1"/>
    <xf numFmtId="0" fontId="10" fillId="0" borderId="1" xfId="10" applyFont="1" applyBorder="1" applyAlignment="1">
      <alignment vertical="center"/>
    </xf>
    <xf numFmtId="0" fontId="11" fillId="0" borderId="1" xfId="0" applyFont="1" applyBorder="1"/>
    <xf numFmtId="0" fontId="11" fillId="0" borderId="1" xfId="10" applyFont="1" applyBorder="1" applyAlignment="1">
      <alignment vertical="center"/>
    </xf>
    <xf numFmtId="0" fontId="1" fillId="0" borderId="1" xfId="10" applyFont="1" applyBorder="1" applyAlignment="1">
      <alignment vertical="center" wrapText="1"/>
    </xf>
    <xf numFmtId="0" fontId="0" fillId="0" borderId="2" xfId="0" applyBorder="1"/>
    <xf numFmtId="0" fontId="2" fillId="0" borderId="0" xfId="0" applyFont="1"/>
    <xf numFmtId="0" fontId="0" fillId="3" borderId="0" xfId="0" applyFill="1"/>
    <xf numFmtId="0" fontId="5" fillId="3" borderId="1" xfId="0" applyFont="1" applyFill="1" applyBorder="1" applyAlignment="1">
      <alignment horizontal="left" wrapText="1"/>
    </xf>
    <xf numFmtId="0" fontId="2" fillId="3" borderId="0" xfId="0" applyFont="1" applyFill="1"/>
    <xf numFmtId="0" fontId="2" fillId="0" borderId="1" xfId="0" applyFont="1" applyBorder="1"/>
    <xf numFmtId="168" fontId="0" fillId="0" borderId="1" xfId="0" applyNumberFormat="1" applyBorder="1"/>
    <xf numFmtId="0" fontId="5" fillId="0" borderId="1" xfId="0" applyFont="1" applyBorder="1"/>
    <xf numFmtId="168" fontId="5" fillId="0" borderId="1" xfId="0" applyNumberFormat="1" applyFont="1" applyBorder="1"/>
    <xf numFmtId="0" fontId="1" fillId="0" borderId="3" xfId="10" applyFont="1" applyBorder="1" applyAlignment="1">
      <alignment horizontal="center" vertical="center"/>
    </xf>
    <xf numFmtId="0" fontId="1" fillId="0" borderId="4" xfId="1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8" fillId="0" borderId="5" xfId="10" applyFont="1" applyBorder="1" applyAlignment="1">
      <alignment horizontal="center" vertical="center"/>
    </xf>
    <xf numFmtId="0" fontId="19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1" fontId="18" fillId="0" borderId="2" xfId="0" applyNumberFormat="1" applyFont="1" applyBorder="1" applyAlignment="1">
      <alignment horizontal="center"/>
    </xf>
    <xf numFmtId="0" fontId="14" fillId="0" borderId="1" xfId="10" applyFont="1" applyBorder="1" applyAlignment="1">
      <alignment horizontal="center" vertical="center"/>
    </xf>
    <xf numFmtId="0" fontId="15" fillId="0" borderId="1" xfId="10" applyFont="1" applyBorder="1" applyAlignment="1">
      <alignment horizontal="center" vertical="center"/>
    </xf>
    <xf numFmtId="0" fontId="3" fillId="4" borderId="1" xfId="10" applyFont="1" applyFill="1" applyBorder="1" applyAlignment="1">
      <alignment vertical="center"/>
    </xf>
    <xf numFmtId="0" fontId="18" fillId="4" borderId="5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1" fontId="18" fillId="4" borderId="1" xfId="0" applyNumberFormat="1" applyFont="1" applyFill="1" applyBorder="1" applyAlignment="1">
      <alignment horizontal="center"/>
    </xf>
    <xf numFmtId="0" fontId="0" fillId="4" borderId="0" xfId="0" applyFill="1"/>
    <xf numFmtId="2" fontId="0" fillId="4" borderId="0" xfId="0" applyNumberFormat="1" applyFill="1"/>
    <xf numFmtId="0" fontId="0" fillId="4" borderId="1" xfId="0" applyFill="1" applyBorder="1"/>
    <xf numFmtId="1" fontId="0" fillId="4" borderId="0" xfId="0" applyNumberFormat="1" applyFill="1"/>
    <xf numFmtId="0" fontId="1" fillId="4" borderId="1" xfId="10" applyFont="1" applyFill="1" applyBorder="1" applyAlignment="1">
      <alignment horizontal="center" vertical="center"/>
    </xf>
    <xf numFmtId="0" fontId="15" fillId="4" borderId="1" xfId="10" applyFont="1" applyFill="1" applyBorder="1" applyAlignment="1">
      <alignment horizontal="center" vertical="center"/>
    </xf>
    <xf numFmtId="0" fontId="3" fillId="4" borderId="1" xfId="10" applyFont="1" applyFill="1" applyBorder="1" applyAlignment="1">
      <alignment vertical="center" wrapText="1"/>
    </xf>
    <xf numFmtId="0" fontId="22" fillId="0" borderId="1" xfId="10" applyFont="1" applyBorder="1" applyAlignment="1">
      <alignment vertical="center"/>
    </xf>
    <xf numFmtId="0" fontId="1" fillId="0" borderId="2" xfId="10" applyFont="1" applyBorder="1" applyAlignment="1">
      <alignment horizontal="center" vertical="center"/>
    </xf>
    <xf numFmtId="0" fontId="0" fillId="0" borderId="4" xfId="0" applyBorder="1"/>
    <xf numFmtId="0" fontId="0" fillId="0" borderId="3" xfId="0" applyBorder="1"/>
    <xf numFmtId="0" fontId="15" fillId="0" borderId="0" xfId="0" applyFont="1" applyAlignment="1">
      <alignment horizontal="center"/>
    </xf>
    <xf numFmtId="0" fontId="1" fillId="0" borderId="2" xfId="10" applyFont="1" applyBorder="1" applyAlignment="1">
      <alignment horizontal="left" vertical="center" wrapText="1"/>
    </xf>
    <xf numFmtId="0" fontId="15" fillId="0" borderId="2" xfId="10" applyFont="1" applyBorder="1" applyAlignment="1">
      <alignment horizontal="center" vertical="center"/>
    </xf>
    <xf numFmtId="0" fontId="16" fillId="0" borderId="2" xfId="10" applyFont="1" applyBorder="1" applyAlignment="1">
      <alignment horizontal="center" vertical="center"/>
    </xf>
    <xf numFmtId="0" fontId="3" fillId="0" borderId="2" xfId="1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5" fillId="4" borderId="2" xfId="10" applyFont="1" applyFill="1" applyBorder="1" applyAlignment="1">
      <alignment horizontal="center" vertical="center"/>
    </xf>
    <xf numFmtId="0" fontId="1" fillId="4" borderId="2" xfId="10" applyFont="1" applyFill="1" applyBorder="1" applyAlignment="1">
      <alignment horizontal="center" vertical="center"/>
    </xf>
  </cellXfs>
  <cellStyles count="18">
    <cellStyle name="Comma 2" xfId="1" xr:uid="{00000000-0005-0000-0000-000000000000}"/>
    <cellStyle name="Comma 3" xfId="2" xr:uid="{00000000-0005-0000-0000-000001000000}"/>
    <cellStyle name="Comma 4" xfId="3" xr:uid="{00000000-0005-0000-0000-000002000000}"/>
    <cellStyle name="Comma 5" xfId="4" xr:uid="{00000000-0005-0000-0000-000003000000}"/>
    <cellStyle name="Comma 5 2" xfId="5" xr:uid="{00000000-0005-0000-0000-000004000000}"/>
    <cellStyle name="Comma 6" xfId="6" xr:uid="{00000000-0005-0000-0000-000005000000}"/>
    <cellStyle name="Normal" xfId="0" builtinId="0"/>
    <cellStyle name="Normal 2" xfId="7" xr:uid="{00000000-0005-0000-0000-000007000000}"/>
    <cellStyle name="Normal 3" xfId="8" xr:uid="{00000000-0005-0000-0000-000008000000}"/>
    <cellStyle name="Normal 4" xfId="9" xr:uid="{00000000-0005-0000-0000-000009000000}"/>
    <cellStyle name="Normal 5" xfId="10" xr:uid="{00000000-0005-0000-0000-00000A000000}"/>
    <cellStyle name="Normal 6" xfId="11" xr:uid="{00000000-0005-0000-0000-00000B000000}"/>
    <cellStyle name="Normal 7" xfId="12" xr:uid="{00000000-0005-0000-0000-00000C000000}"/>
    <cellStyle name="Normal 8" xfId="13" xr:uid="{00000000-0005-0000-0000-00000D000000}"/>
    <cellStyle name="Normal 9" xfId="14" xr:uid="{00000000-0005-0000-0000-00000E000000}"/>
    <cellStyle name="Percent 2" xfId="15" xr:uid="{00000000-0005-0000-0000-00000F000000}"/>
    <cellStyle name="Percent 3" xfId="16" xr:uid="{00000000-0005-0000-0000-000010000000}"/>
    <cellStyle name="Style 1" xfId="17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249"/>
  <sheetViews>
    <sheetView tabSelected="1" zoomScale="130" zoomScaleNormal="130" workbookViewId="0">
      <pane xSplit="3" ySplit="4" topLeftCell="D159" activePane="bottomRight" state="frozen"/>
      <selection pane="topRight" activeCell="D1" sqref="D1"/>
      <selection pane="bottomLeft" activeCell="A5" sqref="A5"/>
      <selection pane="bottomRight" activeCell="N5" sqref="N5"/>
    </sheetView>
  </sheetViews>
  <sheetFormatPr defaultRowHeight="14.25" x14ac:dyDescent="0.2"/>
  <cols>
    <col min="1" max="1" width="6" style="9" bestFit="1" customWidth="1"/>
    <col min="2" max="2" width="8.85546875" style="9" customWidth="1"/>
    <col min="3" max="3" width="38.85546875" customWidth="1"/>
    <col min="4" max="4" width="19.28515625" style="33" customWidth="1"/>
    <col min="5" max="5" width="9.85546875" style="33" customWidth="1"/>
    <col min="6" max="6" width="12" style="33" customWidth="1"/>
    <col min="7" max="7" width="13.28515625" style="33" customWidth="1"/>
    <col min="8" max="8" width="12.42578125" style="33" customWidth="1"/>
    <col min="9" max="9" width="10.7109375" style="33" customWidth="1"/>
    <col min="10" max="10" width="13.5703125" style="33" customWidth="1"/>
    <col min="11" max="11" width="13.42578125" style="33" customWidth="1"/>
    <col min="12" max="15" width="9.140625" customWidth="1"/>
    <col min="16" max="16" width="7" bestFit="1" customWidth="1"/>
    <col min="17" max="17" width="4.28515625" bestFit="1" customWidth="1"/>
    <col min="18" max="18" width="11.140625" style="24" customWidth="1"/>
    <col min="19" max="19" width="9.28515625" customWidth="1"/>
  </cols>
  <sheetData>
    <row r="2" spans="1:18" ht="20.25" x14ac:dyDescent="0.3">
      <c r="A2" s="76" t="s">
        <v>148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8" ht="6.75" customHeight="1" x14ac:dyDescent="0.2"/>
    <row r="4" spans="1:18" ht="66" customHeight="1" x14ac:dyDescent="0.25">
      <c r="A4" s="10" t="s">
        <v>0</v>
      </c>
      <c r="B4" s="10" t="s">
        <v>1</v>
      </c>
      <c r="C4" s="15" t="s">
        <v>2</v>
      </c>
      <c r="D4" s="34" t="s">
        <v>25</v>
      </c>
      <c r="E4" s="34" t="s">
        <v>26</v>
      </c>
      <c r="F4" s="34" t="s">
        <v>27</v>
      </c>
      <c r="G4" s="34" t="s">
        <v>81</v>
      </c>
      <c r="H4" s="35" t="s">
        <v>82</v>
      </c>
      <c r="I4" s="34" t="s">
        <v>83</v>
      </c>
      <c r="J4" s="34" t="s">
        <v>28</v>
      </c>
      <c r="K4" s="39" t="s">
        <v>166</v>
      </c>
      <c r="L4" s="1"/>
      <c r="P4" t="s">
        <v>123</v>
      </c>
      <c r="Q4" t="s">
        <v>122</v>
      </c>
      <c r="R4" s="25"/>
    </row>
    <row r="5" spans="1:18" ht="17.100000000000001" customHeight="1" x14ac:dyDescent="0.2">
      <c r="A5" s="68">
        <v>1</v>
      </c>
      <c r="B5" s="73" t="s">
        <v>149</v>
      </c>
      <c r="C5" s="3" t="s">
        <v>88</v>
      </c>
      <c r="D5" s="36"/>
      <c r="E5" s="37"/>
      <c r="F5" s="37"/>
      <c r="G5" s="38"/>
      <c r="H5" s="37"/>
      <c r="I5" s="37"/>
      <c r="J5" s="37"/>
      <c r="K5" s="37"/>
    </row>
    <row r="6" spans="1:18" s="60" customFormat="1" ht="17.100000000000001" customHeight="1" x14ac:dyDescent="0.25">
      <c r="A6" s="70"/>
      <c r="B6" s="70"/>
      <c r="C6" s="56" t="s">
        <v>89</v>
      </c>
      <c r="D6" s="57" t="s">
        <v>33</v>
      </c>
      <c r="E6" s="58">
        <v>45</v>
      </c>
      <c r="F6" s="58">
        <f>Q6</f>
        <v>120</v>
      </c>
      <c r="G6" s="59">
        <f>E6*$P$6</f>
        <v>265.5</v>
      </c>
      <c r="H6" s="58">
        <f t="shared" ref="H6:H13" si="0">F6+G6</f>
        <v>385.5</v>
      </c>
      <c r="I6" s="58">
        <f t="shared" ref="I6:I13" si="1">ROUND(H6,0)</f>
        <v>386</v>
      </c>
      <c r="J6" s="58">
        <f t="shared" ref="J6:J13" si="2">I6*2</f>
        <v>772</v>
      </c>
      <c r="K6" s="58">
        <f t="shared" ref="K6:K13" si="3">ROUND(J6,-1)</f>
        <v>770</v>
      </c>
      <c r="M6" s="61"/>
      <c r="P6" s="61">
        <v>5.9</v>
      </c>
      <c r="Q6" s="60">
        <v>120</v>
      </c>
    </row>
    <row r="7" spans="1:18" ht="17.100000000000001" customHeight="1" x14ac:dyDescent="0.25">
      <c r="A7" s="70"/>
      <c r="B7" s="70"/>
      <c r="C7" s="3" t="s">
        <v>90</v>
      </c>
      <c r="D7" s="40" t="s">
        <v>34</v>
      </c>
      <c r="E7" s="41">
        <f>E6*2</f>
        <v>90</v>
      </c>
      <c r="F7" s="41">
        <f>Q6*2</f>
        <v>240</v>
      </c>
      <c r="G7" s="42">
        <f>E7*$P$6</f>
        <v>531</v>
      </c>
      <c r="H7" s="41">
        <f t="shared" si="0"/>
        <v>771</v>
      </c>
      <c r="I7" s="41">
        <f t="shared" si="1"/>
        <v>771</v>
      </c>
      <c r="J7" s="41">
        <f t="shared" si="2"/>
        <v>1542</v>
      </c>
      <c r="K7" s="41">
        <f t="shared" si="3"/>
        <v>1540</v>
      </c>
      <c r="M7" s="7"/>
      <c r="P7" s="7"/>
    </row>
    <row r="8" spans="1:18" ht="17.100000000000001" customHeight="1" x14ac:dyDescent="0.25">
      <c r="A8" s="70"/>
      <c r="B8" s="70"/>
      <c r="C8" s="72" t="s">
        <v>150</v>
      </c>
      <c r="D8" s="40" t="s">
        <v>35</v>
      </c>
      <c r="E8" s="41">
        <f>E6*3</f>
        <v>135</v>
      </c>
      <c r="F8" s="41">
        <f>Q6*3</f>
        <v>360</v>
      </c>
      <c r="G8" s="42">
        <f>E8*$P$6</f>
        <v>796.5</v>
      </c>
      <c r="H8" s="41">
        <f t="shared" si="0"/>
        <v>1156.5</v>
      </c>
      <c r="I8" s="41">
        <f t="shared" si="1"/>
        <v>1157</v>
      </c>
      <c r="J8" s="41">
        <f t="shared" si="2"/>
        <v>2314</v>
      </c>
      <c r="K8" s="41">
        <f t="shared" si="3"/>
        <v>2310</v>
      </c>
      <c r="M8" s="7"/>
      <c r="P8" s="7"/>
      <c r="Q8">
        <v>210</v>
      </c>
      <c r="R8" s="24" t="s">
        <v>115</v>
      </c>
    </row>
    <row r="9" spans="1:18" ht="17.100000000000001" customHeight="1" x14ac:dyDescent="0.25">
      <c r="A9" s="70"/>
      <c r="B9" s="70"/>
      <c r="C9" s="69"/>
      <c r="D9" s="40" t="s">
        <v>36</v>
      </c>
      <c r="E9" s="41">
        <f>E6*4</f>
        <v>180</v>
      </c>
      <c r="F9" s="41">
        <f>Q6*4</f>
        <v>480</v>
      </c>
      <c r="G9" s="42">
        <f>E9*$P$6</f>
        <v>1062</v>
      </c>
      <c r="H9" s="41">
        <f t="shared" si="0"/>
        <v>1542</v>
      </c>
      <c r="I9" s="41">
        <f t="shared" si="1"/>
        <v>1542</v>
      </c>
      <c r="J9" s="41">
        <f t="shared" si="2"/>
        <v>3084</v>
      </c>
      <c r="K9" s="41">
        <f t="shared" si="3"/>
        <v>3080</v>
      </c>
      <c r="M9" s="7">
        <f>K6*5</f>
        <v>3850</v>
      </c>
    </row>
    <row r="10" spans="1:18" ht="17.100000000000001" customHeight="1" x14ac:dyDescent="0.25">
      <c r="A10" s="70"/>
      <c r="B10" s="70"/>
      <c r="C10" s="4"/>
      <c r="D10" s="43" t="s">
        <v>37</v>
      </c>
      <c r="E10" s="41">
        <f>E6*5</f>
        <v>225</v>
      </c>
      <c r="F10" s="41">
        <f>Q6*5</f>
        <v>600</v>
      </c>
      <c r="G10" s="42">
        <f>E10*$P$6</f>
        <v>1327.5</v>
      </c>
      <c r="H10" s="41">
        <f t="shared" si="0"/>
        <v>1927.5</v>
      </c>
      <c r="I10" s="41">
        <f t="shared" si="1"/>
        <v>1928</v>
      </c>
      <c r="J10" s="41">
        <f t="shared" si="2"/>
        <v>3856</v>
      </c>
      <c r="K10" s="41">
        <f t="shared" si="3"/>
        <v>3860</v>
      </c>
      <c r="M10" s="7"/>
      <c r="P10" s="7"/>
    </row>
    <row r="11" spans="1:18" ht="17.100000000000001" customHeight="1" x14ac:dyDescent="0.25">
      <c r="A11" s="70"/>
      <c r="B11" s="70"/>
      <c r="C11" s="4"/>
      <c r="D11" s="43" t="s">
        <v>112</v>
      </c>
      <c r="E11" s="41">
        <f>E6*50</f>
        <v>2250</v>
      </c>
      <c r="F11" s="41">
        <f>Q6*50</f>
        <v>6000</v>
      </c>
      <c r="G11" s="42">
        <f>E11*$P$6</f>
        <v>13275</v>
      </c>
      <c r="H11" s="41">
        <f t="shared" si="0"/>
        <v>19275</v>
      </c>
      <c r="I11" s="41">
        <f t="shared" si="1"/>
        <v>19275</v>
      </c>
      <c r="J11" s="41">
        <f t="shared" si="2"/>
        <v>38550</v>
      </c>
      <c r="K11" s="41">
        <f t="shared" si="3"/>
        <v>38550</v>
      </c>
      <c r="M11" s="7">
        <f>K13/100</f>
        <v>861</v>
      </c>
      <c r="P11" s="7"/>
    </row>
    <row r="12" spans="1:18" ht="17.100000000000001" customHeight="1" x14ac:dyDescent="0.25">
      <c r="A12" s="70"/>
      <c r="B12" s="70"/>
      <c r="C12" s="4" t="s">
        <v>114</v>
      </c>
      <c r="D12" s="43" t="s">
        <v>113</v>
      </c>
      <c r="E12" s="41">
        <f>E6*60</f>
        <v>2700</v>
      </c>
      <c r="F12" s="41">
        <f>Q6*50+10*Q8</f>
        <v>8100</v>
      </c>
      <c r="G12" s="42">
        <f>E12*$P$6</f>
        <v>15930.000000000002</v>
      </c>
      <c r="H12" s="41">
        <f t="shared" si="0"/>
        <v>24030</v>
      </c>
      <c r="I12" s="41">
        <f t="shared" si="1"/>
        <v>24030</v>
      </c>
      <c r="J12" s="41">
        <f t="shared" si="2"/>
        <v>48060</v>
      </c>
      <c r="K12" s="41">
        <f t="shared" si="3"/>
        <v>48060</v>
      </c>
      <c r="M12" s="7">
        <f>1796*26</f>
        <v>46696</v>
      </c>
      <c r="P12" s="7"/>
    </row>
    <row r="13" spans="1:18" ht="17.100000000000001" customHeight="1" x14ac:dyDescent="0.25">
      <c r="A13" s="69"/>
      <c r="B13" s="69"/>
      <c r="C13" s="4"/>
      <c r="D13" s="43" t="s">
        <v>116</v>
      </c>
      <c r="E13" s="41">
        <f>E6*100</f>
        <v>4500</v>
      </c>
      <c r="F13" s="41">
        <f>Q6*50+50*Q8</f>
        <v>16500</v>
      </c>
      <c r="G13" s="42">
        <f>E13*$P$6</f>
        <v>26550</v>
      </c>
      <c r="H13" s="41">
        <f t="shared" si="0"/>
        <v>43050</v>
      </c>
      <c r="I13" s="41">
        <f t="shared" si="1"/>
        <v>43050</v>
      </c>
      <c r="J13" s="41">
        <f t="shared" si="2"/>
        <v>86100</v>
      </c>
      <c r="K13" s="41">
        <f t="shared" si="3"/>
        <v>86100</v>
      </c>
      <c r="M13" s="7">
        <v>24616</v>
      </c>
      <c r="P13" s="7"/>
    </row>
    <row r="14" spans="1:18" ht="17.100000000000001" customHeight="1" x14ac:dyDescent="0.25">
      <c r="A14" s="14"/>
      <c r="B14" s="37"/>
      <c r="C14" s="2"/>
      <c r="D14" s="40"/>
      <c r="E14" s="41"/>
      <c r="F14" s="41"/>
      <c r="G14" s="42"/>
      <c r="H14" s="41"/>
      <c r="I14" s="41"/>
      <c r="J14" s="41"/>
      <c r="K14" s="41"/>
      <c r="M14" s="7">
        <f>M12-M13</f>
        <v>22080</v>
      </c>
    </row>
    <row r="15" spans="1:18" s="60" customFormat="1" ht="17.100000000000001" customHeight="1" x14ac:dyDescent="0.25">
      <c r="A15" s="68">
        <v>2</v>
      </c>
      <c r="B15" s="73" t="s">
        <v>151</v>
      </c>
      <c r="C15" s="56" t="s">
        <v>6</v>
      </c>
      <c r="D15" s="57" t="s">
        <v>33</v>
      </c>
      <c r="E15" s="58">
        <v>45</v>
      </c>
      <c r="F15" s="58">
        <f>Q15</f>
        <v>180</v>
      </c>
      <c r="G15" s="59">
        <f>E15*$P$15</f>
        <v>326.25</v>
      </c>
      <c r="H15" s="58">
        <f t="shared" ref="H15:H22" si="4">F15+G15</f>
        <v>506.25</v>
      </c>
      <c r="I15" s="58">
        <f t="shared" ref="I15:I22" si="5">ROUND(H15,0)</f>
        <v>506</v>
      </c>
      <c r="J15" s="58">
        <f t="shared" ref="J15:J22" si="6">I15*2</f>
        <v>1012</v>
      </c>
      <c r="K15" s="58">
        <f t="shared" ref="K15:K22" si="7">ROUND(J15,-1)</f>
        <v>1010</v>
      </c>
      <c r="P15" s="61">
        <v>7.25</v>
      </c>
      <c r="Q15" s="60">
        <v>180</v>
      </c>
      <c r="R15" s="60" t="s">
        <v>102</v>
      </c>
    </row>
    <row r="16" spans="1:18" ht="17.100000000000001" customHeight="1" x14ac:dyDescent="0.25">
      <c r="A16" s="70"/>
      <c r="B16" s="70"/>
      <c r="C16" s="3" t="s">
        <v>7</v>
      </c>
      <c r="D16" s="40" t="s">
        <v>34</v>
      </c>
      <c r="E16" s="41">
        <f>E15*2</f>
        <v>90</v>
      </c>
      <c r="F16" s="41">
        <f>Q16*2</f>
        <v>360</v>
      </c>
      <c r="G16" s="42">
        <f>E16*$P$15</f>
        <v>652.5</v>
      </c>
      <c r="H16" s="41">
        <f t="shared" si="4"/>
        <v>1012.5</v>
      </c>
      <c r="I16" s="41">
        <f t="shared" si="5"/>
        <v>1013</v>
      </c>
      <c r="J16" s="41">
        <f t="shared" si="6"/>
        <v>2026</v>
      </c>
      <c r="K16" s="41">
        <f t="shared" si="7"/>
        <v>2030</v>
      </c>
      <c r="P16" s="7">
        <v>7.25</v>
      </c>
      <c r="Q16">
        <v>180</v>
      </c>
    </row>
    <row r="17" spans="1:18" ht="50.25" customHeight="1" x14ac:dyDescent="0.25">
      <c r="A17" s="70"/>
      <c r="B17" s="70"/>
      <c r="C17" s="21" t="s">
        <v>167</v>
      </c>
      <c r="D17" s="40" t="s">
        <v>35</v>
      </c>
      <c r="E17" s="41">
        <f>E15*3</f>
        <v>135</v>
      </c>
      <c r="F17" s="41">
        <f>Q16*3</f>
        <v>540</v>
      </c>
      <c r="G17" s="42">
        <f>E17*$P$15</f>
        <v>978.75</v>
      </c>
      <c r="H17" s="41">
        <f t="shared" si="4"/>
        <v>1518.75</v>
      </c>
      <c r="I17" s="41">
        <f t="shared" si="5"/>
        <v>1519</v>
      </c>
      <c r="J17" s="41">
        <f t="shared" si="6"/>
        <v>3038</v>
      </c>
      <c r="K17" s="41">
        <f t="shared" si="7"/>
        <v>3040</v>
      </c>
      <c r="Q17">
        <v>250</v>
      </c>
      <c r="R17" s="24" t="s">
        <v>115</v>
      </c>
    </row>
    <row r="18" spans="1:18" ht="17.100000000000001" customHeight="1" x14ac:dyDescent="0.25">
      <c r="A18" s="70"/>
      <c r="B18" s="70"/>
      <c r="C18" s="4"/>
      <c r="D18" s="40" t="s">
        <v>36</v>
      </c>
      <c r="E18" s="41">
        <f>E15*4</f>
        <v>180</v>
      </c>
      <c r="F18" s="41">
        <f>Q16*4</f>
        <v>720</v>
      </c>
      <c r="G18" s="42">
        <f>E18*$P$15</f>
        <v>1305</v>
      </c>
      <c r="H18" s="41">
        <f t="shared" si="4"/>
        <v>2025</v>
      </c>
      <c r="I18" s="41">
        <f t="shared" si="5"/>
        <v>2025</v>
      </c>
      <c r="J18" s="41">
        <f t="shared" si="6"/>
        <v>4050</v>
      </c>
      <c r="K18" s="41">
        <f t="shared" si="7"/>
        <v>4050</v>
      </c>
    </row>
    <row r="19" spans="1:18" ht="17.100000000000001" customHeight="1" x14ac:dyDescent="0.25">
      <c r="A19" s="70"/>
      <c r="B19" s="70"/>
      <c r="C19" s="4"/>
      <c r="D19" s="40" t="s">
        <v>37</v>
      </c>
      <c r="E19" s="41">
        <f>E15*5</f>
        <v>225</v>
      </c>
      <c r="F19" s="41">
        <f>Q16*5</f>
        <v>900</v>
      </c>
      <c r="G19" s="42">
        <f>E19*$P$15</f>
        <v>1631.25</v>
      </c>
      <c r="H19" s="41">
        <f t="shared" si="4"/>
        <v>2531.25</v>
      </c>
      <c r="I19" s="41">
        <f t="shared" si="5"/>
        <v>2531</v>
      </c>
      <c r="J19" s="41">
        <f t="shared" si="6"/>
        <v>5062</v>
      </c>
      <c r="K19" s="41">
        <f t="shared" si="7"/>
        <v>5060</v>
      </c>
    </row>
    <row r="20" spans="1:18" ht="17.100000000000001" customHeight="1" x14ac:dyDescent="0.25">
      <c r="A20" s="70"/>
      <c r="B20" s="70"/>
      <c r="C20" s="4"/>
      <c r="D20" s="43" t="s">
        <v>112</v>
      </c>
      <c r="E20" s="41">
        <f>E15*50</f>
        <v>2250</v>
      </c>
      <c r="F20" s="41">
        <f>Q16*50</f>
        <v>9000</v>
      </c>
      <c r="G20" s="42">
        <f>E20*$P$15</f>
        <v>16312.5</v>
      </c>
      <c r="H20" s="41">
        <f t="shared" si="4"/>
        <v>25312.5</v>
      </c>
      <c r="I20" s="41">
        <f t="shared" si="5"/>
        <v>25313</v>
      </c>
      <c r="J20" s="41">
        <f t="shared" si="6"/>
        <v>50626</v>
      </c>
      <c r="K20" s="41">
        <f t="shared" si="7"/>
        <v>50630</v>
      </c>
    </row>
    <row r="21" spans="1:18" ht="17.100000000000001" customHeight="1" x14ac:dyDescent="0.25">
      <c r="A21" s="70"/>
      <c r="B21" s="70"/>
      <c r="C21" s="4" t="s">
        <v>114</v>
      </c>
      <c r="D21" s="43" t="s">
        <v>113</v>
      </c>
      <c r="E21" s="41">
        <f>E15*60</f>
        <v>2700</v>
      </c>
      <c r="F21" s="41">
        <f>Q16*50+Q17*10</f>
        <v>11500</v>
      </c>
      <c r="G21" s="42">
        <f>E21*$P$15</f>
        <v>19575</v>
      </c>
      <c r="H21" s="41">
        <f t="shared" si="4"/>
        <v>31075</v>
      </c>
      <c r="I21" s="41">
        <f t="shared" si="5"/>
        <v>31075</v>
      </c>
      <c r="J21" s="41">
        <f t="shared" si="6"/>
        <v>62150</v>
      </c>
      <c r="K21" s="41">
        <f t="shared" si="7"/>
        <v>62150</v>
      </c>
    </row>
    <row r="22" spans="1:18" ht="17.100000000000001" customHeight="1" x14ac:dyDescent="0.25">
      <c r="A22" s="69"/>
      <c r="B22" s="69"/>
      <c r="C22" s="4"/>
      <c r="D22" s="43" t="s">
        <v>116</v>
      </c>
      <c r="E22" s="41">
        <f>E15*100</f>
        <v>4500</v>
      </c>
      <c r="F22" s="41">
        <f>Q16*50+Q17*50</f>
        <v>21500</v>
      </c>
      <c r="G22" s="42">
        <f>E22*$P$15</f>
        <v>32625</v>
      </c>
      <c r="H22" s="41">
        <f t="shared" si="4"/>
        <v>54125</v>
      </c>
      <c r="I22" s="41">
        <f t="shared" si="5"/>
        <v>54125</v>
      </c>
      <c r="J22" s="41">
        <f t="shared" si="6"/>
        <v>108250</v>
      </c>
      <c r="K22" s="41">
        <f t="shared" si="7"/>
        <v>108250</v>
      </c>
    </row>
    <row r="23" spans="1:18" ht="17.100000000000001" customHeight="1" x14ac:dyDescent="0.25">
      <c r="A23" s="14"/>
      <c r="B23" s="54"/>
      <c r="C23" s="4"/>
      <c r="D23" s="40"/>
      <c r="E23" s="41"/>
      <c r="F23" s="41"/>
      <c r="G23" s="42"/>
      <c r="H23" s="41"/>
      <c r="I23" s="41"/>
      <c r="J23" s="41"/>
      <c r="K23" s="41"/>
    </row>
    <row r="24" spans="1:18" ht="17.100000000000001" customHeight="1" x14ac:dyDescent="0.25">
      <c r="A24" s="68">
        <v>3</v>
      </c>
      <c r="B24" s="73" t="s">
        <v>152</v>
      </c>
      <c r="C24" s="3" t="s">
        <v>88</v>
      </c>
      <c r="D24" s="40"/>
      <c r="E24" s="41"/>
      <c r="F24" s="41"/>
      <c r="G24" s="42"/>
      <c r="H24" s="41"/>
      <c r="I24" s="41"/>
      <c r="J24" s="41"/>
      <c r="K24" s="41"/>
    </row>
    <row r="25" spans="1:18" ht="17.100000000000001" hidden="1" customHeight="1" x14ac:dyDescent="0.25">
      <c r="A25" s="70"/>
      <c r="B25" s="70"/>
      <c r="C25" s="3" t="s">
        <v>91</v>
      </c>
      <c r="D25" s="40" t="s">
        <v>29</v>
      </c>
      <c r="E25" s="41">
        <v>22</v>
      </c>
      <c r="F25" s="41">
        <f>Q25</f>
        <v>210</v>
      </c>
      <c r="G25" s="42">
        <f>E25*$P$25</f>
        <v>176</v>
      </c>
      <c r="H25" s="41">
        <f t="shared" ref="H25:H32" si="8">F25+G25</f>
        <v>386</v>
      </c>
      <c r="I25" s="41">
        <f t="shared" ref="I25:I32" si="9">ROUND(H25,0)</f>
        <v>386</v>
      </c>
      <c r="J25" s="41">
        <f t="shared" ref="J25:J32" si="10">I25*2</f>
        <v>772</v>
      </c>
      <c r="K25" s="41">
        <f t="shared" ref="K25:K32" si="11">ROUND(J25,-1)</f>
        <v>770</v>
      </c>
      <c r="P25" s="7">
        <v>8</v>
      </c>
      <c r="Q25">
        <v>210</v>
      </c>
    </row>
    <row r="26" spans="1:18" ht="17.100000000000001" hidden="1" customHeight="1" x14ac:dyDescent="0.25">
      <c r="A26" s="70"/>
      <c r="B26" s="70"/>
      <c r="C26" s="3" t="s">
        <v>92</v>
      </c>
      <c r="D26" s="40" t="s">
        <v>30</v>
      </c>
      <c r="E26" s="41">
        <v>43</v>
      </c>
      <c r="F26" s="41">
        <f>Q25</f>
        <v>210</v>
      </c>
      <c r="G26" s="42">
        <f>E26*$P$25</f>
        <v>344</v>
      </c>
      <c r="H26" s="41">
        <f t="shared" si="8"/>
        <v>554</v>
      </c>
      <c r="I26" s="41">
        <f t="shared" si="9"/>
        <v>554</v>
      </c>
      <c r="J26" s="41">
        <f t="shared" si="10"/>
        <v>1108</v>
      </c>
      <c r="K26" s="41">
        <f t="shared" si="11"/>
        <v>1110</v>
      </c>
      <c r="P26" s="7"/>
      <c r="Q26">
        <v>300</v>
      </c>
      <c r="R26" s="24" t="s">
        <v>115</v>
      </c>
    </row>
    <row r="27" spans="1:18" ht="17.100000000000001" hidden="1" customHeight="1" x14ac:dyDescent="0.25">
      <c r="A27" s="70"/>
      <c r="B27" s="70"/>
      <c r="C27" s="4" t="s">
        <v>38</v>
      </c>
      <c r="D27" s="40" t="s">
        <v>31</v>
      </c>
      <c r="E27" s="41">
        <v>65</v>
      </c>
      <c r="F27" s="41">
        <f>Q25</f>
        <v>210</v>
      </c>
      <c r="G27" s="42">
        <f>E27*$P$25</f>
        <v>520</v>
      </c>
      <c r="H27" s="41">
        <f t="shared" si="8"/>
        <v>730</v>
      </c>
      <c r="I27" s="41">
        <f t="shared" si="9"/>
        <v>730</v>
      </c>
      <c r="J27" s="41">
        <f t="shared" si="10"/>
        <v>1460</v>
      </c>
      <c r="K27" s="41">
        <f t="shared" si="11"/>
        <v>1460</v>
      </c>
    </row>
    <row r="28" spans="1:18" s="60" customFormat="1" ht="17.100000000000001" customHeight="1" x14ac:dyDescent="0.25">
      <c r="A28" s="70"/>
      <c r="B28" s="70"/>
      <c r="C28" s="56"/>
      <c r="D28" s="57" t="s">
        <v>32</v>
      </c>
      <c r="E28" s="58">
        <v>86</v>
      </c>
      <c r="F28" s="58">
        <f>Q25</f>
        <v>210</v>
      </c>
      <c r="G28" s="59">
        <f>E28*$P$25</f>
        <v>688</v>
      </c>
      <c r="H28" s="58">
        <f t="shared" si="8"/>
        <v>898</v>
      </c>
      <c r="I28" s="58">
        <f t="shared" si="9"/>
        <v>898</v>
      </c>
      <c r="J28" s="58">
        <f t="shared" si="10"/>
        <v>1796</v>
      </c>
      <c r="K28" s="58">
        <f t="shared" si="11"/>
        <v>1800</v>
      </c>
    </row>
    <row r="29" spans="1:18" ht="17.100000000000001" customHeight="1" x14ac:dyDescent="0.25">
      <c r="A29" s="70"/>
      <c r="B29" s="70"/>
      <c r="C29" s="3"/>
      <c r="D29" s="40" t="s">
        <v>34</v>
      </c>
      <c r="E29" s="41">
        <f>E28*2</f>
        <v>172</v>
      </c>
      <c r="F29" s="41">
        <f>Q25*2</f>
        <v>420</v>
      </c>
      <c r="G29" s="42">
        <f>E29*$P$25</f>
        <v>1376</v>
      </c>
      <c r="H29" s="41">
        <f t="shared" si="8"/>
        <v>1796</v>
      </c>
      <c r="I29" s="41">
        <f t="shared" si="9"/>
        <v>1796</v>
      </c>
      <c r="J29" s="41">
        <f t="shared" si="10"/>
        <v>3592</v>
      </c>
      <c r="K29" s="41">
        <f t="shared" si="11"/>
        <v>3590</v>
      </c>
    </row>
    <row r="30" spans="1:18" ht="17.100000000000001" customHeight="1" x14ac:dyDescent="0.25">
      <c r="A30" s="70"/>
      <c r="B30" s="70"/>
      <c r="C30" s="3"/>
      <c r="D30" s="40" t="s">
        <v>35</v>
      </c>
      <c r="E30" s="41">
        <f>E28*3</f>
        <v>258</v>
      </c>
      <c r="F30" s="41">
        <f>Q25*3</f>
        <v>630</v>
      </c>
      <c r="G30" s="42">
        <f>E30*$P$25</f>
        <v>2064</v>
      </c>
      <c r="H30" s="41">
        <f t="shared" si="8"/>
        <v>2694</v>
      </c>
      <c r="I30" s="41">
        <f t="shared" si="9"/>
        <v>2694</v>
      </c>
      <c r="J30" s="41">
        <f t="shared" si="10"/>
        <v>5388</v>
      </c>
      <c r="K30" s="41">
        <f t="shared" si="11"/>
        <v>5390</v>
      </c>
    </row>
    <row r="31" spans="1:18" ht="17.100000000000001" customHeight="1" x14ac:dyDescent="0.25">
      <c r="A31" s="70"/>
      <c r="B31" s="70"/>
      <c r="C31" s="3"/>
      <c r="D31" s="40" t="s">
        <v>36</v>
      </c>
      <c r="E31" s="41">
        <f>E28*4</f>
        <v>344</v>
      </c>
      <c r="F31" s="41">
        <f>Q25*4</f>
        <v>840</v>
      </c>
      <c r="G31" s="42">
        <f>E31*$P$25</f>
        <v>2752</v>
      </c>
      <c r="H31" s="41">
        <f t="shared" si="8"/>
        <v>3592</v>
      </c>
      <c r="I31" s="41">
        <f t="shared" si="9"/>
        <v>3592</v>
      </c>
      <c r="J31" s="41">
        <f t="shared" si="10"/>
        <v>7184</v>
      </c>
      <c r="K31" s="41">
        <f t="shared" si="11"/>
        <v>7180</v>
      </c>
      <c r="M31">
        <f>34*1796</f>
        <v>61064</v>
      </c>
    </row>
    <row r="32" spans="1:18" ht="17.100000000000001" customHeight="1" x14ac:dyDescent="0.25">
      <c r="A32" s="70"/>
      <c r="B32" s="70"/>
      <c r="C32" s="3"/>
      <c r="D32" s="40" t="s">
        <v>37</v>
      </c>
      <c r="E32" s="41">
        <f>E28*5</f>
        <v>430</v>
      </c>
      <c r="F32" s="41">
        <f>Q25*5</f>
        <v>1050</v>
      </c>
      <c r="G32" s="42">
        <f>E32*$P$25</f>
        <v>3440</v>
      </c>
      <c r="H32" s="41">
        <f t="shared" si="8"/>
        <v>4490</v>
      </c>
      <c r="I32" s="41">
        <f t="shared" si="9"/>
        <v>4490</v>
      </c>
      <c r="J32" s="41">
        <f t="shared" si="10"/>
        <v>8980</v>
      </c>
      <c r="K32" s="41">
        <f t="shared" si="11"/>
        <v>8980</v>
      </c>
    </row>
    <row r="33" spans="1:18" ht="17.100000000000001" customHeight="1" x14ac:dyDescent="0.25">
      <c r="A33" s="70"/>
      <c r="B33" s="70"/>
      <c r="C33" s="4"/>
      <c r="D33" s="43" t="s">
        <v>112</v>
      </c>
      <c r="E33" s="41">
        <f>E28*50</f>
        <v>4300</v>
      </c>
      <c r="F33" s="41">
        <f>Q25*50</f>
        <v>10500</v>
      </c>
      <c r="G33" s="42">
        <f>E33*$P$25</f>
        <v>34400</v>
      </c>
      <c r="H33" s="41">
        <f>F33+G33</f>
        <v>44900</v>
      </c>
      <c r="I33" s="41">
        <f>ROUND(H33,0)</f>
        <v>44900</v>
      </c>
      <c r="J33" s="41">
        <f>I33*2</f>
        <v>89800</v>
      </c>
      <c r="K33" s="41">
        <f>ROUND(J33,-1)</f>
        <v>89800</v>
      </c>
      <c r="M33">
        <f>K33/50</f>
        <v>1796</v>
      </c>
      <c r="N33">
        <f>M33*34</f>
        <v>61064</v>
      </c>
    </row>
    <row r="34" spans="1:18" ht="17.100000000000001" customHeight="1" x14ac:dyDescent="0.25">
      <c r="A34" s="70"/>
      <c r="B34" s="70"/>
      <c r="C34" s="4" t="s">
        <v>114</v>
      </c>
      <c r="D34" s="43" t="s">
        <v>113</v>
      </c>
      <c r="E34" s="41">
        <f>E28*60</f>
        <v>5160</v>
      </c>
      <c r="F34" s="41">
        <f>Q25*50+Q26*10</f>
        <v>13500</v>
      </c>
      <c r="G34" s="42">
        <f>E34*$P$25</f>
        <v>41280</v>
      </c>
      <c r="H34" s="41">
        <f>F34+G34</f>
        <v>54780</v>
      </c>
      <c r="I34" s="41">
        <f>ROUND(H34,0)</f>
        <v>54780</v>
      </c>
      <c r="J34" s="41">
        <f>I34*2</f>
        <v>109560</v>
      </c>
      <c r="K34" s="41">
        <f>ROUND(J34,-1)</f>
        <v>109560</v>
      </c>
      <c r="N34">
        <f>N33-C138</f>
        <v>61064</v>
      </c>
    </row>
    <row r="35" spans="1:18" ht="17.100000000000001" customHeight="1" x14ac:dyDescent="0.25">
      <c r="A35" s="70"/>
      <c r="B35" s="69"/>
      <c r="C35" s="4"/>
      <c r="D35" s="43" t="s">
        <v>116</v>
      </c>
      <c r="E35" s="41">
        <f>E28*100</f>
        <v>8600</v>
      </c>
      <c r="F35" s="41">
        <f>Q25*50+50*Q26</f>
        <v>25500</v>
      </c>
      <c r="G35" s="42">
        <f>E35*$P$25</f>
        <v>68800</v>
      </c>
      <c r="H35" s="41">
        <f>F35+G35</f>
        <v>94300</v>
      </c>
      <c r="I35" s="41">
        <f>ROUND(H35,0)</f>
        <v>94300</v>
      </c>
      <c r="J35" s="41">
        <f>I35*2</f>
        <v>188600</v>
      </c>
      <c r="K35" s="41">
        <f>ROUND(J35,-1)</f>
        <v>188600</v>
      </c>
    </row>
    <row r="36" spans="1:18" ht="10.5" customHeight="1" x14ac:dyDescent="0.25">
      <c r="A36" s="70"/>
      <c r="B36" s="54"/>
      <c r="C36" s="3"/>
      <c r="D36" s="40"/>
      <c r="E36" s="41"/>
      <c r="F36" s="41"/>
      <c r="G36" s="42"/>
      <c r="H36" s="41"/>
      <c r="I36" s="41"/>
      <c r="J36" s="41"/>
      <c r="K36" s="41"/>
    </row>
    <row r="37" spans="1:18" ht="17.100000000000001" hidden="1" customHeight="1" x14ac:dyDescent="0.3">
      <c r="A37" s="70"/>
      <c r="B37" s="74" t="s">
        <v>154</v>
      </c>
      <c r="C37" s="6" t="s">
        <v>88</v>
      </c>
      <c r="D37" s="44"/>
      <c r="E37" s="45"/>
      <c r="F37" s="45"/>
      <c r="G37" s="46"/>
      <c r="H37" s="45"/>
      <c r="I37" s="45"/>
      <c r="J37" s="45"/>
      <c r="K37" s="45"/>
    </row>
    <row r="38" spans="1:18" ht="17.100000000000001" hidden="1" customHeight="1" x14ac:dyDescent="0.3">
      <c r="A38" s="70"/>
      <c r="B38" s="70"/>
      <c r="C38" s="6" t="s">
        <v>91</v>
      </c>
      <c r="D38" s="44" t="s">
        <v>37</v>
      </c>
      <c r="E38" s="45">
        <f>86*5</f>
        <v>430</v>
      </c>
      <c r="F38" s="45">
        <f>Q38*5</f>
        <v>1100</v>
      </c>
      <c r="G38" s="42">
        <f>E38*$P$25</f>
        <v>3440</v>
      </c>
      <c r="H38" s="45">
        <f t="shared" ref="H38:H43" si="12">F38+G38</f>
        <v>4540</v>
      </c>
      <c r="I38" s="45">
        <f t="shared" ref="I38:I43" si="13">ROUND(H38,0)</f>
        <v>4540</v>
      </c>
      <c r="J38" s="45">
        <f t="shared" ref="J38:J43" si="14">I38*2</f>
        <v>9080</v>
      </c>
      <c r="K38" s="45">
        <f t="shared" ref="K38:K43" si="15">ROUND(J38,-1)</f>
        <v>9080</v>
      </c>
      <c r="Q38">
        <v>220</v>
      </c>
    </row>
    <row r="39" spans="1:18" ht="17.100000000000001" hidden="1" customHeight="1" x14ac:dyDescent="0.3">
      <c r="A39" s="70"/>
      <c r="B39" s="70"/>
      <c r="C39" s="6" t="s">
        <v>92</v>
      </c>
      <c r="D39" s="44" t="s">
        <v>84</v>
      </c>
      <c r="E39" s="45">
        <f>86*10</f>
        <v>860</v>
      </c>
      <c r="F39" s="45">
        <f>Q38*10</f>
        <v>2200</v>
      </c>
      <c r="G39" s="42">
        <f>E39*$P$25</f>
        <v>6880</v>
      </c>
      <c r="H39" s="45">
        <f t="shared" si="12"/>
        <v>9080</v>
      </c>
      <c r="I39" s="45">
        <f t="shared" si="13"/>
        <v>9080</v>
      </c>
      <c r="J39" s="45">
        <f t="shared" si="14"/>
        <v>18160</v>
      </c>
      <c r="K39" s="45">
        <f t="shared" si="15"/>
        <v>18160</v>
      </c>
      <c r="Q39">
        <v>320</v>
      </c>
      <c r="R39" s="24" t="s">
        <v>115</v>
      </c>
    </row>
    <row r="40" spans="1:18" ht="17.100000000000001" hidden="1" customHeight="1" x14ac:dyDescent="0.3">
      <c r="A40" s="70"/>
      <c r="B40" s="70"/>
      <c r="C40" s="5" t="s">
        <v>86</v>
      </c>
      <c r="D40" s="44" t="s">
        <v>85</v>
      </c>
      <c r="E40" s="45">
        <f>86*25</f>
        <v>2150</v>
      </c>
      <c r="F40" s="45">
        <f>25*Q38</f>
        <v>5500</v>
      </c>
      <c r="G40" s="42">
        <f>E40*$P$25</f>
        <v>17200</v>
      </c>
      <c r="H40" s="45">
        <f t="shared" si="12"/>
        <v>22700</v>
      </c>
      <c r="I40" s="45">
        <f t="shared" si="13"/>
        <v>22700</v>
      </c>
      <c r="J40" s="45">
        <f t="shared" si="14"/>
        <v>45400</v>
      </c>
      <c r="K40" s="45">
        <f t="shared" si="15"/>
        <v>45400</v>
      </c>
    </row>
    <row r="41" spans="1:18" ht="17.100000000000001" hidden="1" customHeight="1" x14ac:dyDescent="0.3">
      <c r="A41" s="70"/>
      <c r="B41" s="70"/>
      <c r="C41" s="4"/>
      <c r="D41" s="43" t="s">
        <v>112</v>
      </c>
      <c r="E41" s="45">
        <f>86*50</f>
        <v>4300</v>
      </c>
      <c r="F41" s="45">
        <f>50*Q38</f>
        <v>11000</v>
      </c>
      <c r="G41" s="42">
        <f>E41*$P$25</f>
        <v>34400</v>
      </c>
      <c r="H41" s="45">
        <f t="shared" si="12"/>
        <v>45400</v>
      </c>
      <c r="I41" s="45">
        <f t="shared" si="13"/>
        <v>45400</v>
      </c>
      <c r="J41" s="45">
        <f t="shared" si="14"/>
        <v>90800</v>
      </c>
      <c r="K41" s="45">
        <f t="shared" si="15"/>
        <v>90800</v>
      </c>
    </row>
    <row r="42" spans="1:18" ht="17.100000000000001" hidden="1" customHeight="1" x14ac:dyDescent="0.3">
      <c r="A42" s="70"/>
      <c r="B42" s="70"/>
      <c r="C42" s="4" t="s">
        <v>114</v>
      </c>
      <c r="D42" s="43" t="s">
        <v>113</v>
      </c>
      <c r="E42" s="45">
        <f>86*60</f>
        <v>5160</v>
      </c>
      <c r="F42" s="45">
        <f>50*Q38+10*Q39</f>
        <v>14200</v>
      </c>
      <c r="G42" s="42">
        <f>E42*$P$25</f>
        <v>41280</v>
      </c>
      <c r="H42" s="45">
        <f t="shared" si="12"/>
        <v>55480</v>
      </c>
      <c r="I42" s="45">
        <f t="shared" si="13"/>
        <v>55480</v>
      </c>
      <c r="J42" s="45">
        <f t="shared" si="14"/>
        <v>110960</v>
      </c>
      <c r="K42" s="45">
        <f t="shared" si="15"/>
        <v>110960</v>
      </c>
    </row>
    <row r="43" spans="1:18" ht="17.100000000000001" hidden="1" customHeight="1" x14ac:dyDescent="0.3">
      <c r="A43" s="69"/>
      <c r="B43" s="69"/>
      <c r="C43" s="4"/>
      <c r="D43" s="43" t="s">
        <v>116</v>
      </c>
      <c r="E43" s="45">
        <f>86*100</f>
        <v>8600</v>
      </c>
      <c r="F43" s="45">
        <f>50*Q38+50*Q39</f>
        <v>27000</v>
      </c>
      <c r="G43" s="42">
        <f>E43*$P$25</f>
        <v>68800</v>
      </c>
      <c r="H43" s="45">
        <f t="shared" si="12"/>
        <v>95800</v>
      </c>
      <c r="I43" s="45">
        <f t="shared" si="13"/>
        <v>95800</v>
      </c>
      <c r="J43" s="45">
        <f t="shared" si="14"/>
        <v>191600</v>
      </c>
      <c r="K43" s="45">
        <f t="shared" si="15"/>
        <v>191600</v>
      </c>
    </row>
    <row r="44" spans="1:18" ht="17.100000000000001" hidden="1" customHeight="1" x14ac:dyDescent="0.25">
      <c r="A44" s="14"/>
      <c r="B44" s="54"/>
      <c r="C44" s="4"/>
      <c r="D44" s="40"/>
      <c r="E44" s="41"/>
      <c r="F44" s="41"/>
      <c r="G44" s="42"/>
      <c r="H44" s="41"/>
      <c r="I44" s="41"/>
      <c r="J44" s="41"/>
      <c r="K44" s="41"/>
    </row>
    <row r="45" spans="1:18" ht="17.100000000000001" hidden="1" customHeight="1" x14ac:dyDescent="0.25">
      <c r="A45" s="68">
        <v>9</v>
      </c>
      <c r="B45" s="73" t="s">
        <v>153</v>
      </c>
      <c r="C45" s="17" t="s">
        <v>40</v>
      </c>
      <c r="D45" s="40" t="s">
        <v>29</v>
      </c>
      <c r="E45" s="41">
        <v>22</v>
      </c>
      <c r="F45" s="41">
        <f>Q45</f>
        <v>210</v>
      </c>
      <c r="G45" s="42">
        <f>E45*$P$45</f>
        <v>169.4</v>
      </c>
      <c r="H45" s="41">
        <f t="shared" ref="H45:H52" si="16">F45+G45</f>
        <v>379.4</v>
      </c>
      <c r="I45" s="41">
        <f t="shared" ref="I45:I52" si="17">ROUND(H45,0)</f>
        <v>379</v>
      </c>
      <c r="J45" s="41">
        <f t="shared" ref="J45:J52" si="18">I45*2</f>
        <v>758</v>
      </c>
      <c r="K45" s="41">
        <f t="shared" ref="K45:K52" si="19">ROUND(J45,-1)</f>
        <v>760</v>
      </c>
      <c r="P45" s="7">
        <v>7.7</v>
      </c>
      <c r="Q45">
        <v>210</v>
      </c>
    </row>
    <row r="46" spans="1:18" ht="17.100000000000001" hidden="1" customHeight="1" x14ac:dyDescent="0.25">
      <c r="A46" s="70"/>
      <c r="B46" s="70"/>
      <c r="C46" s="17" t="s">
        <v>41</v>
      </c>
      <c r="D46" s="40" t="s">
        <v>30</v>
      </c>
      <c r="E46" s="41">
        <v>43</v>
      </c>
      <c r="F46" s="41">
        <f>Q45</f>
        <v>210</v>
      </c>
      <c r="G46" s="42">
        <f>E46*$P$45</f>
        <v>331.1</v>
      </c>
      <c r="H46" s="41">
        <f t="shared" si="16"/>
        <v>541.1</v>
      </c>
      <c r="I46" s="41">
        <f t="shared" si="17"/>
        <v>541</v>
      </c>
      <c r="J46" s="41">
        <f t="shared" si="18"/>
        <v>1082</v>
      </c>
      <c r="K46" s="41">
        <f t="shared" si="19"/>
        <v>1080</v>
      </c>
      <c r="P46" s="7"/>
      <c r="Q46">
        <v>300</v>
      </c>
      <c r="R46" s="24" t="s">
        <v>115</v>
      </c>
    </row>
    <row r="47" spans="1:18" ht="17.100000000000001" hidden="1" customHeight="1" x14ac:dyDescent="0.25">
      <c r="A47" s="70"/>
      <c r="B47" s="70"/>
      <c r="C47" s="18" t="s">
        <v>39</v>
      </c>
      <c r="D47" s="40" t="s">
        <v>31</v>
      </c>
      <c r="E47" s="41">
        <v>65</v>
      </c>
      <c r="F47" s="41">
        <f>Q45</f>
        <v>210</v>
      </c>
      <c r="G47" s="42">
        <f>E47*$P$45</f>
        <v>500.5</v>
      </c>
      <c r="H47" s="41">
        <f t="shared" si="16"/>
        <v>710.5</v>
      </c>
      <c r="I47" s="41">
        <f t="shared" si="17"/>
        <v>711</v>
      </c>
      <c r="J47" s="41">
        <f t="shared" si="18"/>
        <v>1422</v>
      </c>
      <c r="K47" s="41">
        <f t="shared" si="19"/>
        <v>1420</v>
      </c>
    </row>
    <row r="48" spans="1:18" ht="17.100000000000001" hidden="1" customHeight="1" x14ac:dyDescent="0.25">
      <c r="A48" s="70"/>
      <c r="B48" s="70"/>
      <c r="C48" s="2"/>
      <c r="D48" s="40" t="s">
        <v>32</v>
      </c>
      <c r="E48" s="41">
        <v>86</v>
      </c>
      <c r="F48" s="41">
        <f>Q45</f>
        <v>210</v>
      </c>
      <c r="G48" s="42">
        <f>E48*$P$45</f>
        <v>662.2</v>
      </c>
      <c r="H48" s="41">
        <f t="shared" si="16"/>
        <v>872.2</v>
      </c>
      <c r="I48" s="41">
        <f t="shared" si="17"/>
        <v>872</v>
      </c>
      <c r="J48" s="41">
        <f t="shared" si="18"/>
        <v>1744</v>
      </c>
      <c r="K48" s="41">
        <f t="shared" si="19"/>
        <v>1740</v>
      </c>
    </row>
    <row r="49" spans="1:18" ht="17.100000000000001" hidden="1" customHeight="1" x14ac:dyDescent="0.25">
      <c r="A49" s="70"/>
      <c r="B49" s="70"/>
      <c r="C49" s="2"/>
      <c r="D49" s="40" t="s">
        <v>34</v>
      </c>
      <c r="E49" s="41">
        <v>172</v>
      </c>
      <c r="F49" s="41">
        <f>Q45*2</f>
        <v>420</v>
      </c>
      <c r="G49" s="42">
        <f>E49*$P$45</f>
        <v>1324.4</v>
      </c>
      <c r="H49" s="41">
        <f t="shared" si="16"/>
        <v>1744.4</v>
      </c>
      <c r="I49" s="41">
        <f t="shared" si="17"/>
        <v>1744</v>
      </c>
      <c r="J49" s="41">
        <f t="shared" si="18"/>
        <v>3488</v>
      </c>
      <c r="K49" s="41">
        <f t="shared" si="19"/>
        <v>3490</v>
      </c>
    </row>
    <row r="50" spans="1:18" ht="17.100000000000001" hidden="1" customHeight="1" x14ac:dyDescent="0.25">
      <c r="A50" s="70"/>
      <c r="B50" s="70"/>
      <c r="C50" s="2"/>
      <c r="D50" s="40" t="s">
        <v>35</v>
      </c>
      <c r="E50" s="41">
        <v>258</v>
      </c>
      <c r="F50" s="41">
        <f>Q45*3</f>
        <v>630</v>
      </c>
      <c r="G50" s="42">
        <f>E50*$P$45</f>
        <v>1986.6000000000001</v>
      </c>
      <c r="H50" s="41">
        <f t="shared" si="16"/>
        <v>2616.6000000000004</v>
      </c>
      <c r="I50" s="41">
        <f t="shared" si="17"/>
        <v>2617</v>
      </c>
      <c r="J50" s="41">
        <f t="shared" si="18"/>
        <v>5234</v>
      </c>
      <c r="K50" s="41">
        <f t="shared" si="19"/>
        <v>5230</v>
      </c>
    </row>
    <row r="51" spans="1:18" ht="17.100000000000001" hidden="1" customHeight="1" x14ac:dyDescent="0.25">
      <c r="A51" s="70"/>
      <c r="B51" s="70"/>
      <c r="C51" s="2"/>
      <c r="D51" s="40" t="s">
        <v>36</v>
      </c>
      <c r="E51" s="41">
        <v>344</v>
      </c>
      <c r="F51" s="41">
        <f>Q45*4</f>
        <v>840</v>
      </c>
      <c r="G51" s="42">
        <f>E51*$P$45</f>
        <v>2648.8</v>
      </c>
      <c r="H51" s="41">
        <f t="shared" si="16"/>
        <v>3488.8</v>
      </c>
      <c r="I51" s="41">
        <f t="shared" si="17"/>
        <v>3489</v>
      </c>
      <c r="J51" s="41">
        <f t="shared" si="18"/>
        <v>6978</v>
      </c>
      <c r="K51" s="41">
        <f t="shared" si="19"/>
        <v>6980</v>
      </c>
    </row>
    <row r="52" spans="1:18" ht="17.100000000000001" hidden="1" customHeight="1" x14ac:dyDescent="0.25">
      <c r="A52" s="70"/>
      <c r="B52" s="70"/>
      <c r="C52" s="2"/>
      <c r="D52" s="40" t="s">
        <v>37</v>
      </c>
      <c r="E52" s="41">
        <v>430</v>
      </c>
      <c r="F52" s="41">
        <f>Q45*5</f>
        <v>1050</v>
      </c>
      <c r="G52" s="42">
        <f>E52*$P$45</f>
        <v>3311</v>
      </c>
      <c r="H52" s="41">
        <f t="shared" si="16"/>
        <v>4361</v>
      </c>
      <c r="I52" s="41">
        <f t="shared" si="17"/>
        <v>4361</v>
      </c>
      <c r="J52" s="41">
        <f t="shared" si="18"/>
        <v>8722</v>
      </c>
      <c r="K52" s="41">
        <f t="shared" si="19"/>
        <v>8720</v>
      </c>
    </row>
    <row r="53" spans="1:18" ht="17.100000000000001" hidden="1" customHeight="1" x14ac:dyDescent="0.25">
      <c r="A53" s="70"/>
      <c r="B53" s="70"/>
      <c r="C53" s="4"/>
      <c r="D53" s="43" t="s">
        <v>112</v>
      </c>
      <c r="E53" s="41">
        <f>E48*50</f>
        <v>4300</v>
      </c>
      <c r="F53" s="41">
        <f>Q45*50</f>
        <v>10500</v>
      </c>
      <c r="G53" s="42">
        <f>E53*$P$45</f>
        <v>33110</v>
      </c>
      <c r="H53" s="41">
        <f>F53+G53</f>
        <v>43610</v>
      </c>
      <c r="I53" s="41">
        <f>ROUND(H53,0)</f>
        <v>43610</v>
      </c>
      <c r="J53" s="41">
        <f>I53*2</f>
        <v>87220</v>
      </c>
      <c r="K53" s="41">
        <f>ROUND(J53,-1)</f>
        <v>87220</v>
      </c>
    </row>
    <row r="54" spans="1:18" ht="17.100000000000001" hidden="1" customHeight="1" x14ac:dyDescent="0.25">
      <c r="A54" s="70"/>
      <c r="B54" s="70"/>
      <c r="C54" s="4" t="s">
        <v>114</v>
      </c>
      <c r="D54" s="43" t="s">
        <v>113</v>
      </c>
      <c r="E54" s="41">
        <f>E48*60</f>
        <v>5160</v>
      </c>
      <c r="F54" s="41">
        <f>Q45*50+Q46*10</f>
        <v>13500</v>
      </c>
      <c r="G54" s="42">
        <f>E54*$P$45</f>
        <v>39732</v>
      </c>
      <c r="H54" s="41">
        <f>F54+G54</f>
        <v>53232</v>
      </c>
      <c r="I54" s="41">
        <f>ROUND(H54,0)</f>
        <v>53232</v>
      </c>
      <c r="J54" s="41">
        <f>I54*2</f>
        <v>106464</v>
      </c>
      <c r="K54" s="41">
        <f>ROUND(J54,-1)</f>
        <v>106460</v>
      </c>
    </row>
    <row r="55" spans="1:18" ht="17.100000000000001" hidden="1" customHeight="1" x14ac:dyDescent="0.25">
      <c r="A55" s="70"/>
      <c r="B55" s="69"/>
      <c r="C55" s="4"/>
      <c r="D55" s="43" t="s">
        <v>116</v>
      </c>
      <c r="E55" s="41">
        <f>E48*100</f>
        <v>8600</v>
      </c>
      <c r="F55" s="41">
        <f>Q45*50+Q46*50</f>
        <v>25500</v>
      </c>
      <c r="G55" s="42">
        <f>E55*$P$45</f>
        <v>66220</v>
      </c>
      <c r="H55" s="41">
        <f>F55+G55</f>
        <v>91720</v>
      </c>
      <c r="I55" s="41">
        <f>ROUND(H55,0)</f>
        <v>91720</v>
      </c>
      <c r="J55" s="41">
        <f>I55*2</f>
        <v>183440</v>
      </c>
      <c r="K55" s="41">
        <f>ROUND(J55,-1)</f>
        <v>183440</v>
      </c>
    </row>
    <row r="56" spans="1:18" ht="17.100000000000001" hidden="1" customHeight="1" x14ac:dyDescent="0.25">
      <c r="A56" s="70"/>
      <c r="B56" s="54"/>
      <c r="C56" s="2"/>
      <c r="D56" s="40"/>
      <c r="E56" s="41"/>
      <c r="F56" s="41"/>
      <c r="G56" s="42"/>
      <c r="H56" s="42"/>
      <c r="I56" s="41"/>
      <c r="J56" s="41"/>
      <c r="K56" s="41"/>
    </row>
    <row r="57" spans="1:18" ht="17.100000000000001" hidden="1" customHeight="1" x14ac:dyDescent="0.3">
      <c r="A57" s="70"/>
      <c r="B57" s="74" t="s">
        <v>153</v>
      </c>
      <c r="C57" s="19" t="s">
        <v>40</v>
      </c>
      <c r="D57" s="44"/>
      <c r="E57" s="45"/>
      <c r="F57" s="45"/>
      <c r="G57" s="46"/>
      <c r="H57" s="45"/>
      <c r="I57" s="45"/>
      <c r="J57" s="45"/>
      <c r="K57" s="45"/>
    </row>
    <row r="58" spans="1:18" ht="17.100000000000001" hidden="1" customHeight="1" x14ac:dyDescent="0.3">
      <c r="A58" s="70"/>
      <c r="B58" s="70"/>
      <c r="C58" s="19" t="s">
        <v>41</v>
      </c>
      <c r="D58" s="44" t="s">
        <v>37</v>
      </c>
      <c r="E58" s="45">
        <f>86*5</f>
        <v>430</v>
      </c>
      <c r="F58" s="45">
        <f>Q58*5</f>
        <v>1100</v>
      </c>
      <c r="G58" s="42">
        <f>E58*$P$45</f>
        <v>3311</v>
      </c>
      <c r="H58" s="45">
        <f t="shared" ref="H58:H63" si="20">F58+G58</f>
        <v>4411</v>
      </c>
      <c r="I58" s="45">
        <f t="shared" ref="I58:I63" si="21">ROUND(H58,0)</f>
        <v>4411</v>
      </c>
      <c r="J58" s="45">
        <f t="shared" ref="J58:J63" si="22">I58*2</f>
        <v>8822</v>
      </c>
      <c r="K58" s="45">
        <f t="shared" ref="K58:K63" si="23">ROUND(J58,-1)</f>
        <v>8820</v>
      </c>
      <c r="Q58">
        <v>220</v>
      </c>
    </row>
    <row r="59" spans="1:18" ht="17.100000000000001" hidden="1" customHeight="1" x14ac:dyDescent="0.3">
      <c r="A59" s="70"/>
      <c r="B59" s="70"/>
      <c r="C59" s="20" t="s">
        <v>39</v>
      </c>
      <c r="D59" s="44" t="s">
        <v>84</v>
      </c>
      <c r="E59" s="45">
        <f>86*10</f>
        <v>860</v>
      </c>
      <c r="F59" s="45">
        <f>Q58*10</f>
        <v>2200</v>
      </c>
      <c r="G59" s="42">
        <f>E59*$P$45</f>
        <v>6622</v>
      </c>
      <c r="H59" s="45">
        <f t="shared" si="20"/>
        <v>8822</v>
      </c>
      <c r="I59" s="45">
        <f t="shared" si="21"/>
        <v>8822</v>
      </c>
      <c r="J59" s="45">
        <f t="shared" si="22"/>
        <v>17644</v>
      </c>
      <c r="K59" s="45">
        <f t="shared" si="23"/>
        <v>17640</v>
      </c>
      <c r="Q59">
        <v>320</v>
      </c>
      <c r="R59" s="24" t="s">
        <v>115</v>
      </c>
    </row>
    <row r="60" spans="1:18" ht="17.100000000000001" hidden="1" customHeight="1" x14ac:dyDescent="0.3">
      <c r="A60" s="70"/>
      <c r="B60" s="70"/>
      <c r="C60" s="5" t="s">
        <v>86</v>
      </c>
      <c r="D60" s="44" t="s">
        <v>85</v>
      </c>
      <c r="E60" s="45">
        <f>86*25</f>
        <v>2150</v>
      </c>
      <c r="F60" s="45">
        <f>25*Q58</f>
        <v>5500</v>
      </c>
      <c r="G60" s="42">
        <f>E60*$P$45</f>
        <v>16555</v>
      </c>
      <c r="H60" s="45">
        <f t="shared" si="20"/>
        <v>22055</v>
      </c>
      <c r="I60" s="45">
        <f t="shared" si="21"/>
        <v>22055</v>
      </c>
      <c r="J60" s="45">
        <f t="shared" si="22"/>
        <v>44110</v>
      </c>
      <c r="K60" s="45">
        <f t="shared" si="23"/>
        <v>44110</v>
      </c>
    </row>
    <row r="61" spans="1:18" ht="17.100000000000001" hidden="1" customHeight="1" x14ac:dyDescent="0.3">
      <c r="A61" s="70"/>
      <c r="B61" s="70"/>
      <c r="C61" s="4"/>
      <c r="D61" s="43" t="s">
        <v>112</v>
      </c>
      <c r="E61" s="45">
        <f>86*50</f>
        <v>4300</v>
      </c>
      <c r="F61" s="45">
        <f>50*Q58</f>
        <v>11000</v>
      </c>
      <c r="G61" s="42">
        <f>E61*$P$45</f>
        <v>33110</v>
      </c>
      <c r="H61" s="45">
        <f t="shared" si="20"/>
        <v>44110</v>
      </c>
      <c r="I61" s="45">
        <f t="shared" si="21"/>
        <v>44110</v>
      </c>
      <c r="J61" s="45">
        <f t="shared" si="22"/>
        <v>88220</v>
      </c>
      <c r="K61" s="45">
        <f t="shared" si="23"/>
        <v>88220</v>
      </c>
    </row>
    <row r="62" spans="1:18" ht="17.100000000000001" hidden="1" customHeight="1" x14ac:dyDescent="0.3">
      <c r="A62" s="70"/>
      <c r="B62" s="70"/>
      <c r="C62" s="4" t="s">
        <v>114</v>
      </c>
      <c r="D62" s="43" t="s">
        <v>113</v>
      </c>
      <c r="E62" s="45">
        <f>86*60</f>
        <v>5160</v>
      </c>
      <c r="F62" s="45">
        <f>Q58*50+Q59*10</f>
        <v>14200</v>
      </c>
      <c r="G62" s="42">
        <f>E62*$P$45</f>
        <v>39732</v>
      </c>
      <c r="H62" s="45">
        <f t="shared" si="20"/>
        <v>53932</v>
      </c>
      <c r="I62" s="45">
        <f t="shared" si="21"/>
        <v>53932</v>
      </c>
      <c r="J62" s="45">
        <f t="shared" si="22"/>
        <v>107864</v>
      </c>
      <c r="K62" s="45">
        <f t="shared" si="23"/>
        <v>107860</v>
      </c>
    </row>
    <row r="63" spans="1:18" ht="17.100000000000001" hidden="1" customHeight="1" x14ac:dyDescent="0.3">
      <c r="A63" s="70"/>
      <c r="B63" s="69"/>
      <c r="C63" s="4"/>
      <c r="D63" s="43" t="s">
        <v>116</v>
      </c>
      <c r="E63" s="45">
        <f>86*100</f>
        <v>8600</v>
      </c>
      <c r="F63" s="45">
        <f>Q58*50+Q59*50</f>
        <v>27000</v>
      </c>
      <c r="G63" s="42">
        <f>E63*$P$45</f>
        <v>66220</v>
      </c>
      <c r="H63" s="45">
        <f t="shared" si="20"/>
        <v>93220</v>
      </c>
      <c r="I63" s="45">
        <f t="shared" si="21"/>
        <v>93220</v>
      </c>
      <c r="J63" s="45">
        <f t="shared" si="22"/>
        <v>186440</v>
      </c>
      <c r="K63" s="45">
        <f t="shared" si="23"/>
        <v>186440</v>
      </c>
    </row>
    <row r="64" spans="1:18" ht="17.100000000000001" hidden="1" customHeight="1" x14ac:dyDescent="0.25">
      <c r="A64" s="69"/>
      <c r="B64" s="54"/>
      <c r="C64" s="3"/>
      <c r="D64" s="40"/>
      <c r="E64" s="41"/>
      <c r="F64" s="41"/>
      <c r="G64" s="42"/>
      <c r="H64" s="41"/>
      <c r="I64" s="41"/>
      <c r="J64" s="41"/>
      <c r="K64" s="41"/>
    </row>
    <row r="65" spans="1:19" ht="17.100000000000001" hidden="1" customHeight="1" x14ac:dyDescent="0.25">
      <c r="A65" s="14"/>
      <c r="B65" s="54"/>
      <c r="C65" s="3"/>
      <c r="D65" s="40"/>
      <c r="E65" s="41"/>
      <c r="F65" s="41"/>
      <c r="G65" s="42"/>
      <c r="H65" s="41"/>
      <c r="I65" s="41"/>
      <c r="J65" s="41"/>
      <c r="K65" s="41"/>
    </row>
    <row r="66" spans="1:19" s="60" customFormat="1" ht="17.100000000000001" customHeight="1" x14ac:dyDescent="0.25">
      <c r="A66" s="75">
        <v>4</v>
      </c>
      <c r="B66" s="73" t="s">
        <v>154</v>
      </c>
      <c r="C66" s="56" t="s">
        <v>88</v>
      </c>
      <c r="D66" s="57" t="s">
        <v>51</v>
      </c>
      <c r="E66" s="58">
        <v>36</v>
      </c>
      <c r="F66" s="58">
        <f>ROUND(O66,1)</f>
        <v>210</v>
      </c>
      <c r="G66" s="59">
        <f>E66*$P$25</f>
        <v>288</v>
      </c>
      <c r="H66" s="58">
        <f t="shared" ref="H66:H74" si="24">F66+G66</f>
        <v>498</v>
      </c>
      <c r="I66" s="58">
        <f t="shared" ref="I66:I74" si="25">ROUND(H66,0)</f>
        <v>498</v>
      </c>
      <c r="J66" s="58">
        <f t="shared" ref="J66:J74" si="26">I66*2</f>
        <v>996</v>
      </c>
      <c r="K66" s="58">
        <f t="shared" ref="K66:K74" si="27">ROUND(J66,-1)</f>
        <v>1000</v>
      </c>
      <c r="L66" s="62">
        <v>1</v>
      </c>
      <c r="M66" s="62">
        <f>L66*0.746</f>
        <v>0.746</v>
      </c>
      <c r="N66" s="62">
        <f>ROUND(M66,0.01)</f>
        <v>1</v>
      </c>
      <c r="O66" s="62">
        <f>Q25</f>
        <v>210</v>
      </c>
      <c r="Q66" s="60">
        <f>86*0.74</f>
        <v>63.64</v>
      </c>
      <c r="S66" s="63">
        <f>M66*48</f>
        <v>35.808</v>
      </c>
    </row>
    <row r="67" spans="1:19" ht="17.100000000000001" customHeight="1" x14ac:dyDescent="0.25">
      <c r="A67" s="70"/>
      <c r="B67" s="70"/>
      <c r="C67" s="3" t="s">
        <v>91</v>
      </c>
      <c r="D67" s="40" t="s">
        <v>43</v>
      </c>
      <c r="E67" s="41">
        <f>E66*2</f>
        <v>72</v>
      </c>
      <c r="F67" s="41">
        <f>ROUND(O67,-0.1)</f>
        <v>315</v>
      </c>
      <c r="G67" s="42">
        <f>E67*$P$25</f>
        <v>576</v>
      </c>
      <c r="H67" s="41">
        <f t="shared" si="24"/>
        <v>891</v>
      </c>
      <c r="I67" s="41">
        <f t="shared" si="25"/>
        <v>891</v>
      </c>
      <c r="J67" s="41">
        <f t="shared" si="26"/>
        <v>1782</v>
      </c>
      <c r="K67" s="41">
        <f t="shared" si="27"/>
        <v>1780</v>
      </c>
      <c r="L67" s="2">
        <v>2</v>
      </c>
      <c r="M67" s="2">
        <f t="shared" ref="M67:M74" si="28">L67*0.746</f>
        <v>1.492</v>
      </c>
      <c r="N67" s="2">
        <v>1.5</v>
      </c>
      <c r="O67" s="2">
        <f>N67*Q25</f>
        <v>315</v>
      </c>
    </row>
    <row r="68" spans="1:19" ht="17.100000000000001" customHeight="1" x14ac:dyDescent="0.25">
      <c r="A68" s="70"/>
      <c r="B68" s="70"/>
      <c r="C68" s="3" t="s">
        <v>92</v>
      </c>
      <c r="D68" s="40" t="s">
        <v>44</v>
      </c>
      <c r="E68" s="41">
        <f>E66*3</f>
        <v>108</v>
      </c>
      <c r="F68" s="41">
        <f>ROUND(O68,-0.1)</f>
        <v>473</v>
      </c>
      <c r="G68" s="42">
        <f>E68*$P$25</f>
        <v>864</v>
      </c>
      <c r="H68" s="41">
        <f t="shared" si="24"/>
        <v>1337</v>
      </c>
      <c r="I68" s="41">
        <f t="shared" si="25"/>
        <v>1337</v>
      </c>
      <c r="J68" s="41">
        <f t="shared" si="26"/>
        <v>2674</v>
      </c>
      <c r="K68" s="41">
        <f t="shared" si="27"/>
        <v>2670</v>
      </c>
      <c r="L68" s="2">
        <v>3</v>
      </c>
      <c r="M68" s="2">
        <f t="shared" si="28"/>
        <v>2.238</v>
      </c>
      <c r="N68" s="2">
        <v>2.25</v>
      </c>
      <c r="O68" s="2">
        <f>N68*Q25</f>
        <v>472.5</v>
      </c>
    </row>
    <row r="69" spans="1:19" ht="17.100000000000001" customHeight="1" x14ac:dyDescent="0.25">
      <c r="A69" s="70"/>
      <c r="B69" s="70"/>
      <c r="C69" s="4"/>
      <c r="D69" s="40" t="s">
        <v>45</v>
      </c>
      <c r="E69" s="41">
        <f>E66*4</f>
        <v>144</v>
      </c>
      <c r="F69" s="41">
        <f>ROUND(O69,-0.1)</f>
        <v>630</v>
      </c>
      <c r="G69" s="42">
        <f>E69*$P$25</f>
        <v>1152</v>
      </c>
      <c r="H69" s="41">
        <f t="shared" si="24"/>
        <v>1782</v>
      </c>
      <c r="I69" s="41">
        <f t="shared" si="25"/>
        <v>1782</v>
      </c>
      <c r="J69" s="41">
        <f t="shared" si="26"/>
        <v>3564</v>
      </c>
      <c r="K69" s="41">
        <f t="shared" si="27"/>
        <v>3560</v>
      </c>
      <c r="L69" s="2">
        <v>4</v>
      </c>
      <c r="M69" s="2">
        <f t="shared" si="28"/>
        <v>2.984</v>
      </c>
      <c r="N69" s="2">
        <f>ROUND(M69,0.01)</f>
        <v>3</v>
      </c>
      <c r="O69" s="2">
        <f>N69*Q25</f>
        <v>630</v>
      </c>
    </row>
    <row r="70" spans="1:19" ht="17.100000000000001" customHeight="1" x14ac:dyDescent="0.25">
      <c r="A70" s="70"/>
      <c r="B70" s="70"/>
      <c r="C70" s="3"/>
      <c r="D70" s="40" t="s">
        <v>46</v>
      </c>
      <c r="E70" s="41">
        <f>E66*5</f>
        <v>180</v>
      </c>
      <c r="F70" s="41">
        <f>ROUND(O70,-0.1)</f>
        <v>788</v>
      </c>
      <c r="G70" s="42">
        <f>E70*$P$25</f>
        <v>1440</v>
      </c>
      <c r="H70" s="41">
        <f t="shared" si="24"/>
        <v>2228</v>
      </c>
      <c r="I70" s="41">
        <f t="shared" si="25"/>
        <v>2228</v>
      </c>
      <c r="J70" s="41">
        <f t="shared" si="26"/>
        <v>4456</v>
      </c>
      <c r="K70" s="41">
        <f t="shared" si="27"/>
        <v>4460</v>
      </c>
      <c r="L70" s="2">
        <v>5</v>
      </c>
      <c r="M70" s="2">
        <f t="shared" si="28"/>
        <v>3.73</v>
      </c>
      <c r="N70" s="2">
        <v>3.75</v>
      </c>
      <c r="O70" s="2">
        <f>N70*Q25</f>
        <v>787.5</v>
      </c>
    </row>
    <row r="71" spans="1:19" ht="17.100000000000001" customHeight="1" x14ac:dyDescent="0.25">
      <c r="A71" s="70"/>
      <c r="B71" s="70"/>
      <c r="C71" s="3"/>
      <c r="D71" s="40" t="s">
        <v>47</v>
      </c>
      <c r="E71" s="41">
        <f>E66*7.5</f>
        <v>270</v>
      </c>
      <c r="F71" s="41">
        <f>ROUND(O71,-0.1)</f>
        <v>1155</v>
      </c>
      <c r="G71" s="42">
        <f>E71*$P$25</f>
        <v>2160</v>
      </c>
      <c r="H71" s="41">
        <f t="shared" si="24"/>
        <v>3315</v>
      </c>
      <c r="I71" s="41">
        <f t="shared" si="25"/>
        <v>3315</v>
      </c>
      <c r="J71" s="41">
        <f t="shared" si="26"/>
        <v>6630</v>
      </c>
      <c r="K71" s="41">
        <f t="shared" si="27"/>
        <v>6630</v>
      </c>
      <c r="L71" s="2">
        <v>7.5</v>
      </c>
      <c r="M71" s="2">
        <f t="shared" si="28"/>
        <v>5.5949999999999998</v>
      </c>
      <c r="N71" s="2">
        <v>5.5</v>
      </c>
      <c r="O71" s="2">
        <f>N71*Q25</f>
        <v>1155</v>
      </c>
    </row>
    <row r="72" spans="1:19" ht="17.100000000000001" customHeight="1" x14ac:dyDescent="0.25">
      <c r="A72" s="70"/>
      <c r="B72" s="70"/>
      <c r="C72" s="3"/>
      <c r="D72" s="40" t="s">
        <v>48</v>
      </c>
      <c r="E72" s="41">
        <f>E66*10</f>
        <v>360</v>
      </c>
      <c r="F72" s="41">
        <f>ROUND(O72,-0.1)</f>
        <v>1575</v>
      </c>
      <c r="G72" s="42">
        <f>E72*$P$25</f>
        <v>2880</v>
      </c>
      <c r="H72" s="41">
        <f t="shared" si="24"/>
        <v>4455</v>
      </c>
      <c r="I72" s="41">
        <f t="shared" si="25"/>
        <v>4455</v>
      </c>
      <c r="J72" s="41">
        <f t="shared" si="26"/>
        <v>8910</v>
      </c>
      <c r="K72" s="41">
        <f t="shared" si="27"/>
        <v>8910</v>
      </c>
      <c r="L72" s="2">
        <v>10</v>
      </c>
      <c r="M72" s="2">
        <f t="shared" si="28"/>
        <v>7.46</v>
      </c>
      <c r="N72" s="2">
        <v>7.5</v>
      </c>
      <c r="O72" s="2">
        <f>N72*Q25</f>
        <v>1575</v>
      </c>
    </row>
    <row r="73" spans="1:19" ht="17.100000000000001" hidden="1" customHeight="1" x14ac:dyDescent="0.25">
      <c r="A73" s="70"/>
      <c r="B73" s="70"/>
      <c r="C73" s="3"/>
      <c r="D73" s="40" t="s">
        <v>49</v>
      </c>
      <c r="E73" s="41">
        <f>E66*15</f>
        <v>540</v>
      </c>
      <c r="F73" s="41">
        <f>ROUND(O73,-0.1)</f>
        <v>2363</v>
      </c>
      <c r="G73" s="42">
        <f>E73*$P$25</f>
        <v>4320</v>
      </c>
      <c r="H73" s="41">
        <f t="shared" si="24"/>
        <v>6683</v>
      </c>
      <c r="I73" s="41">
        <f t="shared" si="25"/>
        <v>6683</v>
      </c>
      <c r="J73" s="41">
        <f t="shared" si="26"/>
        <v>13366</v>
      </c>
      <c r="K73" s="41">
        <f t="shared" si="27"/>
        <v>13370</v>
      </c>
      <c r="L73" s="2">
        <v>15</v>
      </c>
      <c r="M73" s="2">
        <f t="shared" si="28"/>
        <v>11.19</v>
      </c>
      <c r="N73" s="2">
        <v>11.25</v>
      </c>
      <c r="O73" s="2">
        <f>N73*Q25</f>
        <v>2362.5</v>
      </c>
    </row>
    <row r="74" spans="1:19" ht="17.100000000000001" hidden="1" customHeight="1" x14ac:dyDescent="0.25">
      <c r="A74" s="69"/>
      <c r="B74" s="69"/>
      <c r="C74" s="3"/>
      <c r="D74" s="40" t="s">
        <v>50</v>
      </c>
      <c r="E74" s="41">
        <f>E66*20</f>
        <v>720</v>
      </c>
      <c r="F74" s="41">
        <f>ROUND(O74,-0.1)</f>
        <v>3150</v>
      </c>
      <c r="G74" s="42">
        <f>E74*$P$25</f>
        <v>5760</v>
      </c>
      <c r="H74" s="41">
        <f t="shared" si="24"/>
        <v>8910</v>
      </c>
      <c r="I74" s="41">
        <f t="shared" si="25"/>
        <v>8910</v>
      </c>
      <c r="J74" s="41">
        <f t="shared" si="26"/>
        <v>17820</v>
      </c>
      <c r="K74" s="41">
        <f t="shared" si="27"/>
        <v>17820</v>
      </c>
      <c r="L74" s="2">
        <v>20</v>
      </c>
      <c r="M74" s="2">
        <f t="shared" si="28"/>
        <v>14.92</v>
      </c>
      <c r="N74" s="2">
        <f>ROUND(M74,0.01)</f>
        <v>15</v>
      </c>
      <c r="O74" s="2">
        <f>N74*Q25</f>
        <v>3150</v>
      </c>
    </row>
    <row r="75" spans="1:19" ht="17.100000000000001" customHeight="1" x14ac:dyDescent="0.25">
      <c r="A75" s="14"/>
      <c r="B75" s="54"/>
      <c r="C75" s="3"/>
      <c r="D75" s="40"/>
      <c r="E75" s="41"/>
      <c r="F75" s="41"/>
      <c r="G75" s="42"/>
      <c r="H75" s="41"/>
      <c r="I75" s="41"/>
      <c r="J75" s="41"/>
      <c r="K75" s="41"/>
    </row>
    <row r="76" spans="1:19" ht="17.100000000000001" hidden="1" customHeight="1" x14ac:dyDescent="0.25">
      <c r="A76" s="68">
        <v>11</v>
      </c>
      <c r="B76" s="73" t="s">
        <v>153</v>
      </c>
      <c r="C76" s="2" t="s">
        <v>40</v>
      </c>
      <c r="D76" s="40" t="s">
        <v>51</v>
      </c>
      <c r="E76" s="41">
        <v>36</v>
      </c>
      <c r="F76" s="42">
        <f>ROUND(O76,1)</f>
        <v>210</v>
      </c>
      <c r="G76" s="42">
        <f>E76*$P$45</f>
        <v>277.2</v>
      </c>
      <c r="H76" s="41">
        <f t="shared" ref="H76:H84" si="29">F76+G76</f>
        <v>487.2</v>
      </c>
      <c r="I76" s="41">
        <f t="shared" ref="I76:I84" si="30">ROUND(H76,0)</f>
        <v>487</v>
      </c>
      <c r="J76" s="41">
        <f t="shared" ref="J76:J84" si="31">I76*2</f>
        <v>974</v>
      </c>
      <c r="K76" s="41">
        <f t="shared" ref="K76:K84" si="32">ROUND(J76,-1)</f>
        <v>970</v>
      </c>
      <c r="L76" s="2">
        <v>1</v>
      </c>
      <c r="M76" s="2">
        <f>L76*0.746</f>
        <v>0.746</v>
      </c>
      <c r="N76" s="2">
        <f>ROUND(M76,0.01)</f>
        <v>1</v>
      </c>
      <c r="O76" s="2">
        <f>N76*Q45</f>
        <v>210</v>
      </c>
    </row>
    <row r="77" spans="1:19" ht="17.100000000000001" hidden="1" customHeight="1" x14ac:dyDescent="0.25">
      <c r="A77" s="70"/>
      <c r="B77" s="70"/>
      <c r="C77" s="2" t="s">
        <v>41</v>
      </c>
      <c r="D77" s="40" t="s">
        <v>43</v>
      </c>
      <c r="E77" s="41">
        <f>E76*2</f>
        <v>72</v>
      </c>
      <c r="F77" s="42">
        <f>ROUND(O77,1)</f>
        <v>315</v>
      </c>
      <c r="G77" s="42">
        <f>E77*$P$45</f>
        <v>554.4</v>
      </c>
      <c r="H77" s="41">
        <f t="shared" si="29"/>
        <v>869.4</v>
      </c>
      <c r="I77" s="41">
        <f t="shared" si="30"/>
        <v>869</v>
      </c>
      <c r="J77" s="41">
        <f t="shared" si="31"/>
        <v>1738</v>
      </c>
      <c r="K77" s="41">
        <f t="shared" si="32"/>
        <v>1740</v>
      </c>
      <c r="L77" s="2">
        <v>2</v>
      </c>
      <c r="M77" s="2">
        <f t="shared" ref="M77:M84" si="33">L77*0.746</f>
        <v>1.492</v>
      </c>
      <c r="N77" s="2">
        <v>1.5</v>
      </c>
      <c r="O77" s="2">
        <f>N77*Q45</f>
        <v>315</v>
      </c>
    </row>
    <row r="78" spans="1:19" ht="17.100000000000001" hidden="1" customHeight="1" x14ac:dyDescent="0.25">
      <c r="A78" s="70"/>
      <c r="B78" s="70"/>
      <c r="C78" s="4" t="s">
        <v>42</v>
      </c>
      <c r="D78" s="40" t="s">
        <v>44</v>
      </c>
      <c r="E78" s="41">
        <f>E76*3</f>
        <v>108</v>
      </c>
      <c r="F78" s="42">
        <f>ROUND(O78,1)</f>
        <v>472.5</v>
      </c>
      <c r="G78" s="42">
        <f>E78*$P$45</f>
        <v>831.6</v>
      </c>
      <c r="H78" s="41">
        <f t="shared" si="29"/>
        <v>1304.0999999999999</v>
      </c>
      <c r="I78" s="41">
        <f t="shared" si="30"/>
        <v>1304</v>
      </c>
      <c r="J78" s="41">
        <f t="shared" si="31"/>
        <v>2608</v>
      </c>
      <c r="K78" s="41">
        <f t="shared" si="32"/>
        <v>2610</v>
      </c>
      <c r="L78" s="2">
        <v>3</v>
      </c>
      <c r="M78" s="2">
        <f t="shared" si="33"/>
        <v>2.238</v>
      </c>
      <c r="N78" s="2">
        <v>2.25</v>
      </c>
      <c r="O78" s="2">
        <f>N78*Q45</f>
        <v>472.5</v>
      </c>
    </row>
    <row r="79" spans="1:19" ht="17.100000000000001" hidden="1" customHeight="1" x14ac:dyDescent="0.25">
      <c r="A79" s="70"/>
      <c r="B79" s="70"/>
      <c r="C79" s="4"/>
      <c r="D79" s="40" t="s">
        <v>45</v>
      </c>
      <c r="E79" s="41">
        <f>E76*4</f>
        <v>144</v>
      </c>
      <c r="F79" s="42">
        <f>ROUND(O79,1)</f>
        <v>630</v>
      </c>
      <c r="G79" s="42">
        <f>E79*$P$45</f>
        <v>1108.8</v>
      </c>
      <c r="H79" s="41">
        <f t="shared" si="29"/>
        <v>1738.8</v>
      </c>
      <c r="I79" s="41">
        <f>ROUND(H79,0)</f>
        <v>1739</v>
      </c>
      <c r="J79" s="41">
        <f t="shared" si="31"/>
        <v>3478</v>
      </c>
      <c r="K79" s="41">
        <f t="shared" si="32"/>
        <v>3480</v>
      </c>
      <c r="L79" s="2">
        <v>4</v>
      </c>
      <c r="M79" s="2">
        <f t="shared" si="33"/>
        <v>2.984</v>
      </c>
      <c r="N79" s="2">
        <f>ROUND(M79,0.01)</f>
        <v>3</v>
      </c>
      <c r="O79" s="2">
        <f>N79*Q45</f>
        <v>630</v>
      </c>
    </row>
    <row r="80" spans="1:19" ht="17.100000000000001" hidden="1" customHeight="1" x14ac:dyDescent="0.25">
      <c r="A80" s="70"/>
      <c r="B80" s="70"/>
      <c r="C80" s="4"/>
      <c r="D80" s="40" t="s">
        <v>46</v>
      </c>
      <c r="E80" s="41">
        <f>E76*5</f>
        <v>180</v>
      </c>
      <c r="F80" s="42">
        <f>ROUND(O80,1)</f>
        <v>787.5</v>
      </c>
      <c r="G80" s="42">
        <f>E80*$P$45</f>
        <v>1386</v>
      </c>
      <c r="H80" s="41">
        <f t="shared" si="29"/>
        <v>2173.5</v>
      </c>
      <c r="I80" s="41">
        <f t="shared" si="30"/>
        <v>2174</v>
      </c>
      <c r="J80" s="41">
        <f t="shared" si="31"/>
        <v>4348</v>
      </c>
      <c r="K80" s="41">
        <f t="shared" si="32"/>
        <v>4350</v>
      </c>
      <c r="L80" s="2">
        <v>5</v>
      </c>
      <c r="M80" s="2">
        <f t="shared" si="33"/>
        <v>3.73</v>
      </c>
      <c r="N80" s="2">
        <v>3.75</v>
      </c>
      <c r="O80" s="2">
        <f>N80*Q45</f>
        <v>787.5</v>
      </c>
    </row>
    <row r="81" spans="1:18" ht="17.100000000000001" hidden="1" customHeight="1" x14ac:dyDescent="0.25">
      <c r="A81" s="70"/>
      <c r="B81" s="70"/>
      <c r="C81" s="4"/>
      <c r="D81" s="40" t="s">
        <v>47</v>
      </c>
      <c r="E81" s="41">
        <f>E76*7.5</f>
        <v>270</v>
      </c>
      <c r="F81" s="42">
        <f>ROUND(O81,1)</f>
        <v>1155</v>
      </c>
      <c r="G81" s="42">
        <f>E81*$P$45</f>
        <v>2079</v>
      </c>
      <c r="H81" s="41">
        <f t="shared" si="29"/>
        <v>3234</v>
      </c>
      <c r="I81" s="41">
        <f t="shared" si="30"/>
        <v>3234</v>
      </c>
      <c r="J81" s="41">
        <f t="shared" si="31"/>
        <v>6468</v>
      </c>
      <c r="K81" s="41">
        <f t="shared" si="32"/>
        <v>6470</v>
      </c>
      <c r="L81" s="2">
        <v>7.5</v>
      </c>
      <c r="M81" s="2">
        <f t="shared" si="33"/>
        <v>5.5949999999999998</v>
      </c>
      <c r="N81" s="2">
        <v>5.5</v>
      </c>
      <c r="O81" s="2">
        <f>N81*Q45</f>
        <v>1155</v>
      </c>
    </row>
    <row r="82" spans="1:18" ht="17.100000000000001" hidden="1" customHeight="1" x14ac:dyDescent="0.25">
      <c r="A82" s="70"/>
      <c r="B82" s="70"/>
      <c r="C82" s="4"/>
      <c r="D82" s="40" t="s">
        <v>48</v>
      </c>
      <c r="E82" s="41">
        <f>E76*10</f>
        <v>360</v>
      </c>
      <c r="F82" s="42">
        <f>ROUND(O82,1)</f>
        <v>1575</v>
      </c>
      <c r="G82" s="42">
        <f>E82*$P$45</f>
        <v>2772</v>
      </c>
      <c r="H82" s="41">
        <f t="shared" si="29"/>
        <v>4347</v>
      </c>
      <c r="I82" s="41">
        <f t="shared" si="30"/>
        <v>4347</v>
      </c>
      <c r="J82" s="41">
        <f t="shared" si="31"/>
        <v>8694</v>
      </c>
      <c r="K82" s="41">
        <f t="shared" si="32"/>
        <v>8690</v>
      </c>
      <c r="L82" s="2">
        <v>10</v>
      </c>
      <c r="M82" s="2">
        <f t="shared" si="33"/>
        <v>7.46</v>
      </c>
      <c r="N82" s="2">
        <v>7.5</v>
      </c>
      <c r="O82" s="2">
        <f>N82*Q45</f>
        <v>1575</v>
      </c>
    </row>
    <row r="83" spans="1:18" ht="17.100000000000001" hidden="1" customHeight="1" x14ac:dyDescent="0.25">
      <c r="A83" s="70"/>
      <c r="B83" s="70"/>
      <c r="C83" s="4"/>
      <c r="D83" s="40" t="s">
        <v>49</v>
      </c>
      <c r="E83" s="41">
        <f>E76*15</f>
        <v>540</v>
      </c>
      <c r="F83" s="42">
        <f>ROUND(O83,1)</f>
        <v>2362.5</v>
      </c>
      <c r="G83" s="42">
        <f>E83*$P$45</f>
        <v>4158</v>
      </c>
      <c r="H83" s="41">
        <f t="shared" si="29"/>
        <v>6520.5</v>
      </c>
      <c r="I83" s="41">
        <f t="shared" si="30"/>
        <v>6521</v>
      </c>
      <c r="J83" s="41">
        <f t="shared" si="31"/>
        <v>13042</v>
      </c>
      <c r="K83" s="41">
        <f t="shared" si="32"/>
        <v>13040</v>
      </c>
      <c r="L83" s="2">
        <v>15</v>
      </c>
      <c r="M83" s="2">
        <f t="shared" si="33"/>
        <v>11.19</v>
      </c>
      <c r="N83" s="2">
        <v>11.25</v>
      </c>
      <c r="O83" s="2">
        <f>N83*Q45</f>
        <v>2362.5</v>
      </c>
    </row>
    <row r="84" spans="1:18" ht="17.100000000000001" hidden="1" customHeight="1" x14ac:dyDescent="0.25">
      <c r="A84" s="69"/>
      <c r="B84" s="69"/>
      <c r="C84" s="4"/>
      <c r="D84" s="40" t="s">
        <v>50</v>
      </c>
      <c r="E84" s="41">
        <f>E76*20</f>
        <v>720</v>
      </c>
      <c r="F84" s="42">
        <f>ROUND(O84,1)</f>
        <v>3150</v>
      </c>
      <c r="G84" s="42">
        <f>E84*$P$45</f>
        <v>5544</v>
      </c>
      <c r="H84" s="41">
        <f t="shared" si="29"/>
        <v>8694</v>
      </c>
      <c r="I84" s="41">
        <f t="shared" si="30"/>
        <v>8694</v>
      </c>
      <c r="J84" s="41">
        <f t="shared" si="31"/>
        <v>17388</v>
      </c>
      <c r="K84" s="41">
        <f t="shared" si="32"/>
        <v>17390</v>
      </c>
      <c r="L84" s="2">
        <v>20</v>
      </c>
      <c r="M84" s="2">
        <f t="shared" si="33"/>
        <v>14.92</v>
      </c>
      <c r="N84" s="2">
        <f>ROUND(M84,0.01)</f>
        <v>15</v>
      </c>
      <c r="O84" s="2">
        <f>N84*Q45</f>
        <v>3150</v>
      </c>
    </row>
    <row r="85" spans="1:18" ht="17.100000000000001" hidden="1" customHeight="1" x14ac:dyDescent="0.25">
      <c r="A85" s="13"/>
      <c r="B85" s="54"/>
      <c r="C85" s="4"/>
      <c r="D85" s="40"/>
      <c r="E85" s="41"/>
      <c r="F85" s="41"/>
      <c r="G85" s="42"/>
      <c r="H85" s="41"/>
      <c r="I85" s="41"/>
      <c r="J85" s="41"/>
      <c r="K85" s="41"/>
    </row>
    <row r="86" spans="1:18" s="60" customFormat="1" ht="17.100000000000001" customHeight="1" x14ac:dyDescent="0.25">
      <c r="A86" s="64">
        <v>5</v>
      </c>
      <c r="B86" s="65" t="s">
        <v>127</v>
      </c>
      <c r="C86" s="56" t="s">
        <v>100</v>
      </c>
      <c r="D86" s="57" t="s">
        <v>101</v>
      </c>
      <c r="E86" s="58">
        <v>86</v>
      </c>
      <c r="F86" s="58">
        <v>200</v>
      </c>
      <c r="G86" s="59">
        <f>E86*P86</f>
        <v>903</v>
      </c>
      <c r="H86" s="58">
        <f>F86+G86</f>
        <v>1103</v>
      </c>
      <c r="I86" s="58">
        <f>ROUND(H86,0)</f>
        <v>1103</v>
      </c>
      <c r="J86" s="58">
        <f>I86*2</f>
        <v>2206</v>
      </c>
      <c r="K86" s="58">
        <f>ROUND(J86,-1)</f>
        <v>2210</v>
      </c>
      <c r="P86" s="61">
        <v>10.5</v>
      </c>
    </row>
    <row r="87" spans="1:18" ht="17.100000000000001" customHeight="1" x14ac:dyDescent="0.25">
      <c r="A87" s="13"/>
      <c r="B87" s="55"/>
      <c r="C87" s="3"/>
      <c r="D87" s="40"/>
      <c r="E87" s="41"/>
      <c r="F87" s="41"/>
      <c r="G87" s="42"/>
      <c r="H87" s="41"/>
      <c r="I87" s="41"/>
      <c r="J87" s="41"/>
      <c r="K87" s="41"/>
    </row>
    <row r="88" spans="1:18" s="60" customFormat="1" ht="17.100000000000001" hidden="1" customHeight="1" x14ac:dyDescent="0.25">
      <c r="A88" s="68">
        <v>6</v>
      </c>
      <c r="B88" s="73" t="s">
        <v>8</v>
      </c>
      <c r="C88" s="56" t="s">
        <v>157</v>
      </c>
      <c r="D88" s="57" t="s">
        <v>51</v>
      </c>
      <c r="E88" s="58">
        <v>36</v>
      </c>
      <c r="F88" s="58">
        <f>$Q$88</f>
        <v>140</v>
      </c>
      <c r="G88" s="59">
        <f>E88*$P$88</f>
        <v>219.6</v>
      </c>
      <c r="H88" s="58">
        <f t="shared" ref="H88:H104" si="34">F88+G88</f>
        <v>359.6</v>
      </c>
      <c r="I88" s="58">
        <f t="shared" ref="I88:I104" si="35">ROUND(H88,0)</f>
        <v>360</v>
      </c>
      <c r="J88" s="58">
        <f t="shared" ref="J88:J104" si="36">I88*2</f>
        <v>720</v>
      </c>
      <c r="K88" s="58">
        <f t="shared" ref="K88:K104" si="37">ROUND(J88,-1)</f>
        <v>720</v>
      </c>
      <c r="P88" s="61">
        <v>6.1</v>
      </c>
      <c r="Q88" s="60">
        <v>140</v>
      </c>
    </row>
    <row r="89" spans="1:18" ht="17.100000000000001" hidden="1" customHeight="1" x14ac:dyDescent="0.25">
      <c r="A89" s="70"/>
      <c r="B89" s="70"/>
      <c r="C89" s="4"/>
      <c r="D89" s="40" t="s">
        <v>43</v>
      </c>
      <c r="E89" s="41">
        <f>E88*2</f>
        <v>72</v>
      </c>
      <c r="F89" s="41">
        <f>$Q$88*2</f>
        <v>280</v>
      </c>
      <c r="G89" s="42">
        <f>E89*$P$88</f>
        <v>439.2</v>
      </c>
      <c r="H89" s="41">
        <f t="shared" si="34"/>
        <v>719.2</v>
      </c>
      <c r="I89" s="41">
        <f t="shared" si="35"/>
        <v>719</v>
      </c>
      <c r="J89" s="41">
        <f t="shared" si="36"/>
        <v>1438</v>
      </c>
      <c r="K89" s="41">
        <f t="shared" si="37"/>
        <v>1440</v>
      </c>
      <c r="P89" s="7"/>
    </row>
    <row r="90" spans="1:18" ht="17.100000000000001" hidden="1" customHeight="1" x14ac:dyDescent="0.25">
      <c r="A90" s="70"/>
      <c r="B90" s="70"/>
      <c r="C90" s="4"/>
      <c r="D90" s="40" t="s">
        <v>44</v>
      </c>
      <c r="E90" s="41">
        <f>E88*3</f>
        <v>108</v>
      </c>
      <c r="F90" s="41">
        <f>$Q$88*3</f>
        <v>420</v>
      </c>
      <c r="G90" s="42">
        <f>E90*$P$88</f>
        <v>658.8</v>
      </c>
      <c r="H90" s="41">
        <f t="shared" si="34"/>
        <v>1078.8</v>
      </c>
      <c r="I90" s="41">
        <f t="shared" si="35"/>
        <v>1079</v>
      </c>
      <c r="J90" s="41">
        <f t="shared" si="36"/>
        <v>2158</v>
      </c>
      <c r="K90" s="41">
        <f t="shared" si="37"/>
        <v>2160</v>
      </c>
    </row>
    <row r="91" spans="1:18" ht="17.100000000000001" hidden="1" customHeight="1" x14ac:dyDescent="0.25">
      <c r="A91" s="70"/>
      <c r="B91" s="70"/>
      <c r="C91" s="4"/>
      <c r="D91" s="40" t="s">
        <v>45</v>
      </c>
      <c r="E91" s="41">
        <f>E88*4</f>
        <v>144</v>
      </c>
      <c r="F91" s="41">
        <f>$Q$88*4</f>
        <v>560</v>
      </c>
      <c r="G91" s="42">
        <f>E91*$P$88</f>
        <v>878.4</v>
      </c>
      <c r="H91" s="41">
        <f t="shared" si="34"/>
        <v>1438.4</v>
      </c>
      <c r="I91" s="41">
        <f t="shared" si="35"/>
        <v>1438</v>
      </c>
      <c r="J91" s="41">
        <f t="shared" si="36"/>
        <v>2876</v>
      </c>
      <c r="K91" s="41">
        <f t="shared" si="37"/>
        <v>2880</v>
      </c>
    </row>
    <row r="92" spans="1:18" ht="17.100000000000001" hidden="1" customHeight="1" x14ac:dyDescent="0.25">
      <c r="A92" s="70"/>
      <c r="B92" s="70"/>
      <c r="C92" s="4"/>
      <c r="D92" s="40" t="s">
        <v>46</v>
      </c>
      <c r="E92" s="41">
        <f>E88*5</f>
        <v>180</v>
      </c>
      <c r="F92" s="41">
        <f>$Q$88*5</f>
        <v>700</v>
      </c>
      <c r="G92" s="42">
        <f>E92*$P$88</f>
        <v>1098</v>
      </c>
      <c r="H92" s="41">
        <f t="shared" si="34"/>
        <v>1798</v>
      </c>
      <c r="I92" s="41">
        <f t="shared" si="35"/>
        <v>1798</v>
      </c>
      <c r="J92" s="41">
        <f t="shared" si="36"/>
        <v>3596</v>
      </c>
      <c r="K92" s="41">
        <f t="shared" si="37"/>
        <v>3600</v>
      </c>
      <c r="Q92">
        <v>250</v>
      </c>
      <c r="R92" s="24" t="s">
        <v>115</v>
      </c>
    </row>
    <row r="93" spans="1:18" ht="17.100000000000001" hidden="1" customHeight="1" x14ac:dyDescent="0.25">
      <c r="A93" s="70"/>
      <c r="B93" s="70"/>
      <c r="C93" s="4"/>
      <c r="D93" s="40" t="s">
        <v>47</v>
      </c>
      <c r="E93" s="41">
        <f>E88*7.5</f>
        <v>270</v>
      </c>
      <c r="F93" s="41">
        <f>$Q$88*7.5</f>
        <v>1050</v>
      </c>
      <c r="G93" s="42">
        <f>E93*$P$88</f>
        <v>1647</v>
      </c>
      <c r="H93" s="41">
        <f t="shared" si="34"/>
        <v>2697</v>
      </c>
      <c r="I93" s="41">
        <f t="shared" si="35"/>
        <v>2697</v>
      </c>
      <c r="J93" s="41">
        <f t="shared" si="36"/>
        <v>5394</v>
      </c>
      <c r="K93" s="41">
        <f t="shared" si="37"/>
        <v>5390</v>
      </c>
    </row>
    <row r="94" spans="1:18" ht="17.100000000000001" hidden="1" customHeight="1" x14ac:dyDescent="0.25">
      <c r="A94" s="70"/>
      <c r="B94" s="70"/>
      <c r="C94" s="4"/>
      <c r="D94" s="40" t="s">
        <v>48</v>
      </c>
      <c r="E94" s="41">
        <f>E88*10</f>
        <v>360</v>
      </c>
      <c r="F94" s="41">
        <f>$Q$88*10</f>
        <v>1400</v>
      </c>
      <c r="G94" s="42">
        <f>E94*$P$88</f>
        <v>2196</v>
      </c>
      <c r="H94" s="41">
        <f t="shared" si="34"/>
        <v>3596</v>
      </c>
      <c r="I94" s="41">
        <f t="shared" si="35"/>
        <v>3596</v>
      </c>
      <c r="J94" s="41">
        <f t="shared" si="36"/>
        <v>7192</v>
      </c>
      <c r="K94" s="41">
        <f t="shared" si="37"/>
        <v>7190</v>
      </c>
    </row>
    <row r="95" spans="1:18" ht="17.100000000000001" hidden="1" customHeight="1" x14ac:dyDescent="0.25">
      <c r="A95" s="70"/>
      <c r="B95" s="70"/>
      <c r="C95" s="4"/>
      <c r="D95" s="40" t="s">
        <v>49</v>
      </c>
      <c r="E95" s="41">
        <f>E88*15</f>
        <v>540</v>
      </c>
      <c r="F95" s="41">
        <f>$Q$88*15</f>
        <v>2100</v>
      </c>
      <c r="G95" s="42">
        <f>E95*$P$88</f>
        <v>3294</v>
      </c>
      <c r="H95" s="41">
        <f t="shared" si="34"/>
        <v>5394</v>
      </c>
      <c r="I95" s="41">
        <f t="shared" si="35"/>
        <v>5394</v>
      </c>
      <c r="J95" s="41">
        <f t="shared" si="36"/>
        <v>10788</v>
      </c>
      <c r="K95" s="41">
        <f t="shared" si="37"/>
        <v>10790</v>
      </c>
    </row>
    <row r="96" spans="1:18" ht="17.100000000000001" hidden="1" customHeight="1" x14ac:dyDescent="0.25">
      <c r="A96" s="70"/>
      <c r="B96" s="70"/>
      <c r="C96" s="4"/>
      <c r="D96" s="40" t="s">
        <v>50</v>
      </c>
      <c r="E96" s="41">
        <f>E88*20</f>
        <v>720</v>
      </c>
      <c r="F96" s="41">
        <f>$Q$88*20</f>
        <v>2800</v>
      </c>
      <c r="G96" s="42">
        <f>E96*$P$88</f>
        <v>4392</v>
      </c>
      <c r="H96" s="41">
        <f t="shared" si="34"/>
        <v>7192</v>
      </c>
      <c r="I96" s="41">
        <f t="shared" si="35"/>
        <v>7192</v>
      </c>
      <c r="J96" s="41">
        <f t="shared" si="36"/>
        <v>14384</v>
      </c>
      <c r="K96" s="41">
        <f t="shared" si="37"/>
        <v>14380</v>
      </c>
    </row>
    <row r="97" spans="1:18" ht="17.100000000000001" hidden="1" customHeight="1" x14ac:dyDescent="0.25">
      <c r="A97" s="70"/>
      <c r="B97" s="70"/>
      <c r="C97" s="4"/>
      <c r="D97" s="40" t="s">
        <v>53</v>
      </c>
      <c r="E97" s="41">
        <f>E88*25</f>
        <v>900</v>
      </c>
      <c r="F97" s="41">
        <f>$Q$88*25</f>
        <v>3500</v>
      </c>
      <c r="G97" s="42">
        <f>E97*$P$88</f>
        <v>5490</v>
      </c>
      <c r="H97" s="41">
        <f t="shared" si="34"/>
        <v>8990</v>
      </c>
      <c r="I97" s="41">
        <f t="shared" si="35"/>
        <v>8990</v>
      </c>
      <c r="J97" s="41">
        <f t="shared" si="36"/>
        <v>17980</v>
      </c>
      <c r="K97" s="41">
        <f t="shared" si="37"/>
        <v>17980</v>
      </c>
    </row>
    <row r="98" spans="1:18" ht="17.100000000000001" hidden="1" customHeight="1" x14ac:dyDescent="0.25">
      <c r="A98" s="70"/>
      <c r="B98" s="70"/>
      <c r="C98" s="4"/>
      <c r="D98" s="40" t="s">
        <v>54</v>
      </c>
      <c r="E98" s="41">
        <f>E88*39</f>
        <v>1404</v>
      </c>
      <c r="F98" s="41">
        <f>$Q$88*39</f>
        <v>5460</v>
      </c>
      <c r="G98" s="42">
        <f>E98*$P$88</f>
        <v>8564.4</v>
      </c>
      <c r="H98" s="41">
        <f t="shared" si="34"/>
        <v>14024.4</v>
      </c>
      <c r="I98" s="41">
        <f t="shared" si="35"/>
        <v>14024</v>
      </c>
      <c r="J98" s="41">
        <f t="shared" si="36"/>
        <v>28048</v>
      </c>
      <c r="K98" s="41">
        <f t="shared" si="37"/>
        <v>28050</v>
      </c>
    </row>
    <row r="99" spans="1:18" ht="17.100000000000001" hidden="1" customHeight="1" x14ac:dyDescent="0.25">
      <c r="A99" s="70"/>
      <c r="B99" s="70"/>
      <c r="C99" s="4"/>
      <c r="D99" s="40" t="s">
        <v>55</v>
      </c>
      <c r="E99" s="41">
        <f>E88*40</f>
        <v>1440</v>
      </c>
      <c r="F99" s="41">
        <f>$Q$88*40</f>
        <v>5600</v>
      </c>
      <c r="G99" s="42">
        <f>E99*$P$88</f>
        <v>8784</v>
      </c>
      <c r="H99" s="41">
        <f t="shared" si="34"/>
        <v>14384</v>
      </c>
      <c r="I99" s="41">
        <f t="shared" si="35"/>
        <v>14384</v>
      </c>
      <c r="J99" s="41">
        <f t="shared" si="36"/>
        <v>28768</v>
      </c>
      <c r="K99" s="41">
        <f t="shared" si="37"/>
        <v>28770</v>
      </c>
    </row>
    <row r="100" spans="1:18" ht="17.100000000000001" hidden="1" customHeight="1" x14ac:dyDescent="0.25">
      <c r="A100" s="70"/>
      <c r="B100" s="70"/>
      <c r="C100" s="4"/>
      <c r="D100" s="40" t="s">
        <v>56</v>
      </c>
      <c r="E100" s="41">
        <f>E88*66</f>
        <v>2376</v>
      </c>
      <c r="F100" s="41">
        <f>$Q$88*66</f>
        <v>9240</v>
      </c>
      <c r="G100" s="42">
        <f>E100*$P$88</f>
        <v>14493.599999999999</v>
      </c>
      <c r="H100" s="41">
        <f t="shared" si="34"/>
        <v>23733.599999999999</v>
      </c>
      <c r="I100" s="41">
        <f t="shared" si="35"/>
        <v>23734</v>
      </c>
      <c r="J100" s="41">
        <f t="shared" si="36"/>
        <v>47468</v>
      </c>
      <c r="K100" s="41">
        <f t="shared" si="37"/>
        <v>47470</v>
      </c>
    </row>
    <row r="101" spans="1:18" ht="17.100000000000001" hidden="1" customHeight="1" x14ac:dyDescent="0.25">
      <c r="A101" s="70"/>
      <c r="B101" s="70"/>
      <c r="C101" s="4"/>
      <c r="D101" s="40" t="s">
        <v>57</v>
      </c>
      <c r="E101" s="41">
        <f>E88*67</f>
        <v>2412</v>
      </c>
      <c r="F101" s="41">
        <f>$Q$88*67</f>
        <v>9380</v>
      </c>
      <c r="G101" s="42">
        <f>E101*$P$88</f>
        <v>14713.199999999999</v>
      </c>
      <c r="H101" s="41">
        <f t="shared" si="34"/>
        <v>24093.199999999997</v>
      </c>
      <c r="I101" s="41">
        <f t="shared" si="35"/>
        <v>24093</v>
      </c>
      <c r="J101" s="41">
        <f t="shared" si="36"/>
        <v>48186</v>
      </c>
      <c r="K101" s="41">
        <f t="shared" si="37"/>
        <v>48190</v>
      </c>
    </row>
    <row r="102" spans="1:18" ht="17.100000000000001" hidden="1" customHeight="1" x14ac:dyDescent="0.25">
      <c r="A102" s="70"/>
      <c r="B102" s="70"/>
      <c r="C102" s="4"/>
      <c r="D102" s="40" t="s">
        <v>58</v>
      </c>
      <c r="E102" s="41">
        <f>E88*70</f>
        <v>2520</v>
      </c>
      <c r="F102" s="41">
        <f>$Q$88*70</f>
        <v>9800</v>
      </c>
      <c r="G102" s="42">
        <f>E102*$P$88</f>
        <v>15372</v>
      </c>
      <c r="H102" s="41">
        <f t="shared" si="34"/>
        <v>25172</v>
      </c>
      <c r="I102" s="41">
        <f t="shared" si="35"/>
        <v>25172</v>
      </c>
      <c r="J102" s="41">
        <f t="shared" si="36"/>
        <v>50344</v>
      </c>
      <c r="K102" s="41">
        <f t="shared" si="37"/>
        <v>50340</v>
      </c>
    </row>
    <row r="103" spans="1:18" ht="17.100000000000001" hidden="1" customHeight="1" x14ac:dyDescent="0.25">
      <c r="A103" s="70"/>
      <c r="B103" s="70"/>
      <c r="C103" s="4"/>
      <c r="D103" s="40" t="s">
        <v>59</v>
      </c>
      <c r="E103" s="41">
        <f>E88*80</f>
        <v>2880</v>
      </c>
      <c r="F103" s="41">
        <f>$Q$88*80</f>
        <v>11200</v>
      </c>
      <c r="G103" s="42">
        <f>E103*$P$88</f>
        <v>17568</v>
      </c>
      <c r="H103" s="41">
        <f t="shared" si="34"/>
        <v>28768</v>
      </c>
      <c r="I103" s="41">
        <f t="shared" si="35"/>
        <v>28768</v>
      </c>
      <c r="J103" s="41">
        <f t="shared" si="36"/>
        <v>57536</v>
      </c>
      <c r="K103" s="41">
        <f t="shared" si="37"/>
        <v>57540</v>
      </c>
    </row>
    <row r="104" spans="1:18" ht="17.100000000000001" hidden="1" customHeight="1" x14ac:dyDescent="0.25">
      <c r="A104" s="70"/>
      <c r="B104" s="70"/>
      <c r="C104" s="4"/>
      <c r="D104" s="40" t="s">
        <v>60</v>
      </c>
      <c r="E104" s="41">
        <f>E88*100</f>
        <v>3600</v>
      </c>
      <c r="F104" s="41">
        <f>100*$Q$92</f>
        <v>25000</v>
      </c>
      <c r="G104" s="42">
        <f>E104*$P$88</f>
        <v>21960</v>
      </c>
      <c r="H104" s="41">
        <f t="shared" si="34"/>
        <v>46960</v>
      </c>
      <c r="I104" s="41">
        <f t="shared" si="35"/>
        <v>46960</v>
      </c>
      <c r="J104" s="41">
        <f t="shared" si="36"/>
        <v>93920</v>
      </c>
      <c r="K104" s="41">
        <f t="shared" si="37"/>
        <v>93920</v>
      </c>
    </row>
    <row r="105" spans="1:18" ht="17.100000000000001" hidden="1" customHeight="1" x14ac:dyDescent="0.25">
      <c r="A105" s="70"/>
      <c r="B105" s="70"/>
      <c r="C105" s="4" t="s">
        <v>114</v>
      </c>
      <c r="D105" s="40" t="s">
        <v>117</v>
      </c>
      <c r="E105" s="41">
        <f>E88*200</f>
        <v>7200</v>
      </c>
      <c r="F105" s="41">
        <f>200*$Q$92</f>
        <v>50000</v>
      </c>
      <c r="G105" s="42">
        <f>E105*$P$88</f>
        <v>43920</v>
      </c>
      <c r="H105" s="41">
        <f>F105+G105</f>
        <v>93920</v>
      </c>
      <c r="I105" s="41">
        <f>ROUND(H105,0)</f>
        <v>93920</v>
      </c>
      <c r="J105" s="41">
        <f>I105*2</f>
        <v>187840</v>
      </c>
      <c r="K105" s="41">
        <f>ROUND(J105,-1)</f>
        <v>187840</v>
      </c>
    </row>
    <row r="106" spans="1:18" ht="17.100000000000001" hidden="1" customHeight="1" x14ac:dyDescent="0.25">
      <c r="A106" s="69"/>
      <c r="B106" s="69"/>
      <c r="C106" s="4"/>
      <c r="D106" s="40" t="s">
        <v>118</v>
      </c>
      <c r="E106" s="41">
        <f>E88*500</f>
        <v>18000</v>
      </c>
      <c r="F106" s="41">
        <f>500*$Q$92</f>
        <v>125000</v>
      </c>
      <c r="G106" s="42">
        <f>E106*$P$88</f>
        <v>109800</v>
      </c>
      <c r="H106" s="41">
        <f>F106+G106</f>
        <v>234800</v>
      </c>
      <c r="I106" s="41">
        <f>ROUND(H106,0)</f>
        <v>234800</v>
      </c>
      <c r="J106" s="41">
        <f>I106*2</f>
        <v>469600</v>
      </c>
      <c r="K106" s="41">
        <f>ROUND(J106,-1)</f>
        <v>469600</v>
      </c>
    </row>
    <row r="107" spans="1:18" ht="17.100000000000001" customHeight="1" x14ac:dyDescent="0.25">
      <c r="A107" s="13"/>
      <c r="B107" s="37"/>
      <c r="C107" s="2"/>
      <c r="D107" s="40"/>
      <c r="E107" s="41"/>
      <c r="F107" s="41"/>
      <c r="G107" s="42"/>
      <c r="H107" s="41"/>
      <c r="I107" s="41"/>
      <c r="J107" s="41"/>
      <c r="K107" s="41"/>
    </row>
    <row r="108" spans="1:18" ht="17.100000000000001" hidden="1" customHeight="1" x14ac:dyDescent="0.25">
      <c r="A108" s="68">
        <v>14</v>
      </c>
      <c r="B108" s="73" t="s">
        <v>155</v>
      </c>
      <c r="C108" s="3" t="s">
        <v>156</v>
      </c>
      <c r="D108" s="40" t="s">
        <v>51</v>
      </c>
      <c r="E108" s="41">
        <v>36</v>
      </c>
      <c r="F108" s="41">
        <f>$Q$108</f>
        <v>140</v>
      </c>
      <c r="G108" s="42">
        <f>E108*$P$108</f>
        <v>208.79999999999998</v>
      </c>
      <c r="H108" s="41">
        <f t="shared" ref="H108:H124" si="38">F108+G108</f>
        <v>348.79999999999995</v>
      </c>
      <c r="I108" s="41">
        <f t="shared" ref="I108:I124" si="39">ROUND(H108,0)</f>
        <v>349</v>
      </c>
      <c r="J108" s="41">
        <f t="shared" ref="J108:J124" si="40">I108*2</f>
        <v>698</v>
      </c>
      <c r="K108" s="41">
        <f t="shared" ref="K108:K156" si="41">ROUND(J108,-1)</f>
        <v>700</v>
      </c>
      <c r="P108" s="7">
        <f>6.1-0.3</f>
        <v>5.8</v>
      </c>
      <c r="Q108">
        <v>140</v>
      </c>
    </row>
    <row r="109" spans="1:18" ht="17.100000000000001" hidden="1" customHeight="1" x14ac:dyDescent="0.25">
      <c r="A109" s="70"/>
      <c r="B109" s="70"/>
      <c r="C109" s="4"/>
      <c r="D109" s="40" t="s">
        <v>43</v>
      </c>
      <c r="E109" s="41">
        <f>E108*2</f>
        <v>72</v>
      </c>
      <c r="F109" s="41">
        <f>Q108*2</f>
        <v>280</v>
      </c>
      <c r="G109" s="42">
        <f>E109*$P$108</f>
        <v>417.59999999999997</v>
      </c>
      <c r="H109" s="41">
        <f t="shared" si="38"/>
        <v>697.59999999999991</v>
      </c>
      <c r="I109" s="41">
        <f t="shared" si="39"/>
        <v>698</v>
      </c>
      <c r="J109" s="41">
        <f t="shared" si="40"/>
        <v>1396</v>
      </c>
      <c r="K109" s="41">
        <f t="shared" si="41"/>
        <v>1400</v>
      </c>
      <c r="P109" s="7"/>
    </row>
    <row r="110" spans="1:18" ht="17.100000000000001" hidden="1" customHeight="1" x14ac:dyDescent="0.25">
      <c r="A110" s="70"/>
      <c r="B110" s="70"/>
      <c r="C110" s="4"/>
      <c r="D110" s="40" t="s">
        <v>44</v>
      </c>
      <c r="E110" s="41">
        <f>E108*3</f>
        <v>108</v>
      </c>
      <c r="F110" s="41">
        <f>Q108*3</f>
        <v>420</v>
      </c>
      <c r="G110" s="42">
        <f>E110*$P$108</f>
        <v>626.4</v>
      </c>
      <c r="H110" s="41">
        <f t="shared" si="38"/>
        <v>1046.4000000000001</v>
      </c>
      <c r="I110" s="41">
        <f t="shared" si="39"/>
        <v>1046</v>
      </c>
      <c r="J110" s="41">
        <f t="shared" si="40"/>
        <v>2092</v>
      </c>
      <c r="K110" s="41">
        <f t="shared" si="41"/>
        <v>2090</v>
      </c>
      <c r="P110" s="7"/>
    </row>
    <row r="111" spans="1:18" ht="17.100000000000001" hidden="1" customHeight="1" x14ac:dyDescent="0.25">
      <c r="A111" s="70"/>
      <c r="B111" s="70"/>
      <c r="C111" s="4"/>
      <c r="D111" s="40" t="s">
        <v>45</v>
      </c>
      <c r="E111" s="41">
        <f>E108*4</f>
        <v>144</v>
      </c>
      <c r="F111" s="41">
        <f>Q108*4</f>
        <v>560</v>
      </c>
      <c r="G111" s="42">
        <f>E111*$P$108</f>
        <v>835.19999999999993</v>
      </c>
      <c r="H111" s="41">
        <f t="shared" si="38"/>
        <v>1395.1999999999998</v>
      </c>
      <c r="I111" s="41">
        <f t="shared" si="39"/>
        <v>1395</v>
      </c>
      <c r="J111" s="41">
        <f t="shared" si="40"/>
        <v>2790</v>
      </c>
      <c r="K111" s="41">
        <f t="shared" si="41"/>
        <v>2790</v>
      </c>
    </row>
    <row r="112" spans="1:18" ht="17.100000000000001" hidden="1" customHeight="1" x14ac:dyDescent="0.25">
      <c r="A112" s="70"/>
      <c r="B112" s="70"/>
      <c r="C112" s="4"/>
      <c r="D112" s="40" t="s">
        <v>46</v>
      </c>
      <c r="E112" s="41">
        <f>E108*5</f>
        <v>180</v>
      </c>
      <c r="F112" s="41">
        <f>Q108*5</f>
        <v>700</v>
      </c>
      <c r="G112" s="42">
        <f>E112*$P$108</f>
        <v>1044</v>
      </c>
      <c r="H112" s="41">
        <f t="shared" si="38"/>
        <v>1744</v>
      </c>
      <c r="I112" s="41">
        <f t="shared" si="39"/>
        <v>1744</v>
      </c>
      <c r="J112" s="41">
        <f t="shared" si="40"/>
        <v>3488</v>
      </c>
      <c r="K112" s="41">
        <f t="shared" si="41"/>
        <v>3490</v>
      </c>
      <c r="Q112">
        <v>250</v>
      </c>
      <c r="R112" s="24" t="s">
        <v>115</v>
      </c>
    </row>
    <row r="113" spans="1:17" ht="17.100000000000001" hidden="1" customHeight="1" x14ac:dyDescent="0.25">
      <c r="A113" s="70"/>
      <c r="B113" s="70"/>
      <c r="C113" s="4"/>
      <c r="D113" s="40" t="s">
        <v>47</v>
      </c>
      <c r="E113" s="41">
        <f>E108*7.5</f>
        <v>270</v>
      </c>
      <c r="F113" s="42">
        <f>7.5*Q108</f>
        <v>1050</v>
      </c>
      <c r="G113" s="42">
        <f>E113*$P$108</f>
        <v>1566</v>
      </c>
      <c r="H113" s="41">
        <f t="shared" si="38"/>
        <v>2616</v>
      </c>
      <c r="I113" s="41">
        <f t="shared" si="39"/>
        <v>2616</v>
      </c>
      <c r="J113" s="41">
        <f t="shared" si="40"/>
        <v>5232</v>
      </c>
      <c r="K113" s="41">
        <f t="shared" si="41"/>
        <v>5230</v>
      </c>
    </row>
    <row r="114" spans="1:17" ht="17.100000000000001" hidden="1" customHeight="1" x14ac:dyDescent="0.25">
      <c r="A114" s="70"/>
      <c r="B114" s="70"/>
      <c r="C114" s="4"/>
      <c r="D114" s="40" t="s">
        <v>48</v>
      </c>
      <c r="E114" s="41">
        <f>E108*10</f>
        <v>360</v>
      </c>
      <c r="F114" s="41">
        <f>Q108*10</f>
        <v>1400</v>
      </c>
      <c r="G114" s="42">
        <f>E114*$P$108</f>
        <v>2088</v>
      </c>
      <c r="H114" s="41">
        <f t="shared" si="38"/>
        <v>3488</v>
      </c>
      <c r="I114" s="41">
        <f t="shared" si="39"/>
        <v>3488</v>
      </c>
      <c r="J114" s="41">
        <f t="shared" si="40"/>
        <v>6976</v>
      </c>
      <c r="K114" s="41">
        <f t="shared" si="41"/>
        <v>6980</v>
      </c>
    </row>
    <row r="115" spans="1:17" ht="17.100000000000001" hidden="1" customHeight="1" x14ac:dyDescent="0.25">
      <c r="A115" s="70"/>
      <c r="B115" s="70"/>
      <c r="C115" s="4"/>
      <c r="D115" s="40" t="s">
        <v>49</v>
      </c>
      <c r="E115" s="41">
        <f>E108*15</f>
        <v>540</v>
      </c>
      <c r="F115" s="41">
        <f>Q108*15</f>
        <v>2100</v>
      </c>
      <c r="G115" s="42">
        <f>E115*$P$108</f>
        <v>3132</v>
      </c>
      <c r="H115" s="41">
        <f t="shared" si="38"/>
        <v>5232</v>
      </c>
      <c r="I115" s="41">
        <f t="shared" si="39"/>
        <v>5232</v>
      </c>
      <c r="J115" s="41">
        <f t="shared" si="40"/>
        <v>10464</v>
      </c>
      <c r="K115" s="41">
        <f t="shared" si="41"/>
        <v>10460</v>
      </c>
    </row>
    <row r="116" spans="1:17" ht="17.100000000000001" hidden="1" customHeight="1" x14ac:dyDescent="0.25">
      <c r="A116" s="70"/>
      <c r="B116" s="70"/>
      <c r="C116" s="4"/>
      <c r="D116" s="40" t="s">
        <v>50</v>
      </c>
      <c r="E116" s="41">
        <f>E108*20</f>
        <v>720</v>
      </c>
      <c r="F116" s="41">
        <f>Q108*20</f>
        <v>2800</v>
      </c>
      <c r="G116" s="42">
        <f>E116*$P$108</f>
        <v>4176</v>
      </c>
      <c r="H116" s="41">
        <f t="shared" si="38"/>
        <v>6976</v>
      </c>
      <c r="I116" s="41">
        <f t="shared" si="39"/>
        <v>6976</v>
      </c>
      <c r="J116" s="41">
        <f t="shared" si="40"/>
        <v>13952</v>
      </c>
      <c r="K116" s="41">
        <f t="shared" si="41"/>
        <v>13950</v>
      </c>
    </row>
    <row r="117" spans="1:17" ht="17.100000000000001" hidden="1" customHeight="1" x14ac:dyDescent="0.25">
      <c r="A117" s="70"/>
      <c r="B117" s="70"/>
      <c r="C117" s="4"/>
      <c r="D117" s="40" t="s">
        <v>53</v>
      </c>
      <c r="E117" s="41">
        <f>E108*25</f>
        <v>900</v>
      </c>
      <c r="F117" s="41">
        <f>Q108*25</f>
        <v>3500</v>
      </c>
      <c r="G117" s="42">
        <f>E117*$P$108</f>
        <v>5220</v>
      </c>
      <c r="H117" s="41">
        <f t="shared" si="38"/>
        <v>8720</v>
      </c>
      <c r="I117" s="41">
        <f t="shared" si="39"/>
        <v>8720</v>
      </c>
      <c r="J117" s="41">
        <f t="shared" si="40"/>
        <v>17440</v>
      </c>
      <c r="K117" s="41">
        <f t="shared" si="41"/>
        <v>17440</v>
      </c>
    </row>
    <row r="118" spans="1:17" ht="17.100000000000001" hidden="1" customHeight="1" x14ac:dyDescent="0.25">
      <c r="A118" s="70"/>
      <c r="B118" s="70"/>
      <c r="C118" s="4"/>
      <c r="D118" s="40" t="s">
        <v>54</v>
      </c>
      <c r="E118" s="41">
        <f>E108*39</f>
        <v>1404</v>
      </c>
      <c r="F118" s="41">
        <f>Q108*39</f>
        <v>5460</v>
      </c>
      <c r="G118" s="42">
        <f>E118*$P$108</f>
        <v>8143.2</v>
      </c>
      <c r="H118" s="41">
        <f t="shared" si="38"/>
        <v>13603.2</v>
      </c>
      <c r="I118" s="41">
        <f t="shared" si="39"/>
        <v>13603</v>
      </c>
      <c r="J118" s="41">
        <f t="shared" si="40"/>
        <v>27206</v>
      </c>
      <c r="K118" s="41">
        <f t="shared" si="41"/>
        <v>27210</v>
      </c>
    </row>
    <row r="119" spans="1:17" ht="17.100000000000001" hidden="1" customHeight="1" x14ac:dyDescent="0.25">
      <c r="A119" s="70"/>
      <c r="B119" s="70"/>
      <c r="C119" s="4"/>
      <c r="D119" s="40" t="s">
        <v>55</v>
      </c>
      <c r="E119" s="41">
        <f>E108*40</f>
        <v>1440</v>
      </c>
      <c r="F119" s="41">
        <f>40*Q108</f>
        <v>5600</v>
      </c>
      <c r="G119" s="42">
        <f>E119*$P$108</f>
        <v>8352</v>
      </c>
      <c r="H119" s="41">
        <f t="shared" si="38"/>
        <v>13952</v>
      </c>
      <c r="I119" s="41">
        <f t="shared" si="39"/>
        <v>13952</v>
      </c>
      <c r="J119" s="41">
        <f t="shared" si="40"/>
        <v>27904</v>
      </c>
      <c r="K119" s="41">
        <f t="shared" si="41"/>
        <v>27900</v>
      </c>
    </row>
    <row r="120" spans="1:17" ht="17.100000000000001" hidden="1" customHeight="1" x14ac:dyDescent="0.25">
      <c r="A120" s="70"/>
      <c r="B120" s="70"/>
      <c r="C120" s="4"/>
      <c r="D120" s="40" t="s">
        <v>56</v>
      </c>
      <c r="E120" s="41">
        <f>E108*66</f>
        <v>2376</v>
      </c>
      <c r="F120" s="41">
        <f>66*Q108</f>
        <v>9240</v>
      </c>
      <c r="G120" s="42">
        <f>E120*$P$108</f>
        <v>13780.8</v>
      </c>
      <c r="H120" s="41">
        <f t="shared" si="38"/>
        <v>23020.799999999999</v>
      </c>
      <c r="I120" s="41">
        <f t="shared" si="39"/>
        <v>23021</v>
      </c>
      <c r="J120" s="41">
        <f t="shared" si="40"/>
        <v>46042</v>
      </c>
      <c r="K120" s="41">
        <f t="shared" si="41"/>
        <v>46040</v>
      </c>
    </row>
    <row r="121" spans="1:17" ht="17.100000000000001" hidden="1" customHeight="1" x14ac:dyDescent="0.25">
      <c r="A121" s="70"/>
      <c r="B121" s="70"/>
      <c r="C121" s="4"/>
      <c r="D121" s="40" t="s">
        <v>57</v>
      </c>
      <c r="E121" s="41">
        <f>E108*67</f>
        <v>2412</v>
      </c>
      <c r="F121" s="41">
        <f>67*Q108</f>
        <v>9380</v>
      </c>
      <c r="G121" s="42">
        <f>E121*$P$108</f>
        <v>13989.6</v>
      </c>
      <c r="H121" s="41">
        <f t="shared" si="38"/>
        <v>23369.599999999999</v>
      </c>
      <c r="I121" s="41">
        <f t="shared" si="39"/>
        <v>23370</v>
      </c>
      <c r="J121" s="41">
        <f t="shared" si="40"/>
        <v>46740</v>
      </c>
      <c r="K121" s="41">
        <f t="shared" si="41"/>
        <v>46740</v>
      </c>
    </row>
    <row r="122" spans="1:17" ht="17.100000000000001" hidden="1" customHeight="1" x14ac:dyDescent="0.25">
      <c r="A122" s="70"/>
      <c r="B122" s="70"/>
      <c r="C122" s="4"/>
      <c r="D122" s="40" t="s">
        <v>58</v>
      </c>
      <c r="E122" s="41">
        <f>E108*70</f>
        <v>2520</v>
      </c>
      <c r="F122" s="41">
        <f>70*Q108</f>
        <v>9800</v>
      </c>
      <c r="G122" s="42">
        <f>E122*$P$108</f>
        <v>14616</v>
      </c>
      <c r="H122" s="41">
        <f t="shared" si="38"/>
        <v>24416</v>
      </c>
      <c r="I122" s="41">
        <f t="shared" si="39"/>
        <v>24416</v>
      </c>
      <c r="J122" s="41">
        <f t="shared" si="40"/>
        <v>48832</v>
      </c>
      <c r="K122" s="41">
        <f t="shared" si="41"/>
        <v>48830</v>
      </c>
    </row>
    <row r="123" spans="1:17" ht="17.100000000000001" hidden="1" customHeight="1" x14ac:dyDescent="0.25">
      <c r="A123" s="70"/>
      <c r="B123" s="70"/>
      <c r="C123" s="4"/>
      <c r="D123" s="40" t="s">
        <v>59</v>
      </c>
      <c r="E123" s="41">
        <f>E108*80</f>
        <v>2880</v>
      </c>
      <c r="F123" s="41">
        <f>80*Q108</f>
        <v>11200</v>
      </c>
      <c r="G123" s="42">
        <f>E123*$P$108</f>
        <v>16704</v>
      </c>
      <c r="H123" s="41">
        <f t="shared" si="38"/>
        <v>27904</v>
      </c>
      <c r="I123" s="41">
        <f t="shared" si="39"/>
        <v>27904</v>
      </c>
      <c r="J123" s="41">
        <f t="shared" si="40"/>
        <v>55808</v>
      </c>
      <c r="K123" s="41">
        <f t="shared" si="41"/>
        <v>55810</v>
      </c>
    </row>
    <row r="124" spans="1:17" ht="17.100000000000001" hidden="1" customHeight="1" x14ac:dyDescent="0.25">
      <c r="A124" s="70"/>
      <c r="B124" s="70"/>
      <c r="C124" s="4"/>
      <c r="D124" s="40" t="s">
        <v>60</v>
      </c>
      <c r="E124" s="41">
        <f>E108*100</f>
        <v>3600</v>
      </c>
      <c r="F124" s="41">
        <f>100*Q112</f>
        <v>25000</v>
      </c>
      <c r="G124" s="42">
        <f>E124*$P$108</f>
        <v>20880</v>
      </c>
      <c r="H124" s="41">
        <f t="shared" si="38"/>
        <v>45880</v>
      </c>
      <c r="I124" s="41">
        <f t="shared" si="39"/>
        <v>45880</v>
      </c>
      <c r="J124" s="41">
        <f t="shared" si="40"/>
        <v>91760</v>
      </c>
      <c r="K124" s="41">
        <f t="shared" si="41"/>
        <v>91760</v>
      </c>
    </row>
    <row r="125" spans="1:17" ht="17.100000000000001" hidden="1" customHeight="1" x14ac:dyDescent="0.25">
      <c r="A125" s="70"/>
      <c r="B125" s="70"/>
      <c r="C125" s="4" t="s">
        <v>114</v>
      </c>
      <c r="D125" s="40" t="s">
        <v>117</v>
      </c>
      <c r="E125" s="41">
        <f>E108*200</f>
        <v>7200</v>
      </c>
      <c r="F125" s="41">
        <f>200*Q112</f>
        <v>50000</v>
      </c>
      <c r="G125" s="42">
        <f>E125*$P$108</f>
        <v>41760</v>
      </c>
      <c r="H125" s="41">
        <f>F125+G125</f>
        <v>91760</v>
      </c>
      <c r="I125" s="41">
        <f>ROUND(H125,0)</f>
        <v>91760</v>
      </c>
      <c r="J125" s="41">
        <f>I125*2</f>
        <v>183520</v>
      </c>
      <c r="K125" s="41">
        <f>ROUND(J125,-1)</f>
        <v>183520</v>
      </c>
    </row>
    <row r="126" spans="1:17" ht="17.100000000000001" hidden="1" customHeight="1" x14ac:dyDescent="0.25">
      <c r="A126" s="69"/>
      <c r="B126" s="69"/>
      <c r="C126" s="4"/>
      <c r="D126" s="40" t="s">
        <v>118</v>
      </c>
      <c r="E126" s="41">
        <f>E108*500</f>
        <v>18000</v>
      </c>
      <c r="F126" s="41">
        <f>500*Q112</f>
        <v>125000</v>
      </c>
      <c r="G126" s="42">
        <f>E126*$P$108</f>
        <v>104400</v>
      </c>
      <c r="H126" s="41">
        <f>F126+G126</f>
        <v>229400</v>
      </c>
      <c r="I126" s="41">
        <f>ROUND(H126,0)</f>
        <v>229400</v>
      </c>
      <c r="J126" s="41">
        <f>I126*2</f>
        <v>458800</v>
      </c>
      <c r="K126" s="41">
        <f>ROUND(J126,-1)</f>
        <v>458800</v>
      </c>
    </row>
    <row r="127" spans="1:17" ht="17.100000000000001" hidden="1" customHeight="1" x14ac:dyDescent="0.25">
      <c r="A127" s="13"/>
      <c r="B127" s="54"/>
      <c r="C127" s="4"/>
      <c r="D127" s="40"/>
      <c r="E127" s="41"/>
      <c r="F127" s="41"/>
      <c r="G127" s="42"/>
      <c r="H127" s="41"/>
      <c r="I127" s="41"/>
      <c r="J127" s="41"/>
      <c r="K127" s="41"/>
      <c r="L127" t="s">
        <v>130</v>
      </c>
      <c r="M127" t="s">
        <v>129</v>
      </c>
      <c r="N127" t="s">
        <v>129</v>
      </c>
    </row>
    <row r="128" spans="1:17" s="60" customFormat="1" ht="17.100000000000001" customHeight="1" x14ac:dyDescent="0.25">
      <c r="A128" s="68">
        <v>7</v>
      </c>
      <c r="B128" s="73" t="s">
        <v>8</v>
      </c>
      <c r="C128" s="56" t="s">
        <v>52</v>
      </c>
      <c r="D128" s="57" t="s">
        <v>46</v>
      </c>
      <c r="E128" s="58">
        <v>180</v>
      </c>
      <c r="F128" s="58">
        <f>O128</f>
        <v>712.5</v>
      </c>
      <c r="G128" s="59">
        <f>E128*$P$88</f>
        <v>1098</v>
      </c>
      <c r="H128" s="58">
        <f t="shared" ref="H128:H140" si="42">F128+G128</f>
        <v>1810.5</v>
      </c>
      <c r="I128" s="58">
        <f t="shared" ref="I128:I140" si="43">ROUND(H128,0)</f>
        <v>1811</v>
      </c>
      <c r="J128" s="58">
        <f t="shared" ref="J128:J140" si="44">I128*2</f>
        <v>3622</v>
      </c>
      <c r="K128" s="58">
        <f t="shared" si="41"/>
        <v>3620</v>
      </c>
      <c r="L128" s="60">
        <v>5</v>
      </c>
      <c r="M128" s="60">
        <f>L128*0.746</f>
        <v>3.73</v>
      </c>
      <c r="N128" s="60">
        <f>3.75</f>
        <v>3.75</v>
      </c>
      <c r="O128" s="60">
        <f>N128*Q128</f>
        <v>712.5</v>
      </c>
      <c r="Q128" s="60">
        <v>190</v>
      </c>
    </row>
    <row r="129" spans="1:18" ht="17.100000000000001" customHeight="1" x14ac:dyDescent="0.25">
      <c r="A129" s="70"/>
      <c r="B129" s="70"/>
      <c r="C129" s="4" t="s">
        <v>95</v>
      </c>
      <c r="D129" s="40" t="s">
        <v>47</v>
      </c>
      <c r="E129" s="41">
        <v>270</v>
      </c>
      <c r="F129" s="41">
        <f>O129</f>
        <v>1045</v>
      </c>
      <c r="G129" s="42">
        <f>E129*$P$88</f>
        <v>1647</v>
      </c>
      <c r="H129" s="41">
        <f t="shared" si="42"/>
        <v>2692</v>
      </c>
      <c r="I129" s="41">
        <f t="shared" si="43"/>
        <v>2692</v>
      </c>
      <c r="J129" s="41">
        <f t="shared" si="44"/>
        <v>5384</v>
      </c>
      <c r="K129" s="41">
        <f t="shared" si="41"/>
        <v>5380</v>
      </c>
      <c r="L129">
        <v>7.5</v>
      </c>
      <c r="M129">
        <f t="shared" ref="M129:M142" si="45">L129*0.746</f>
        <v>5.5949999999999998</v>
      </c>
      <c r="N129">
        <v>5.5</v>
      </c>
      <c r="O129">
        <f>N129*Q128</f>
        <v>1045</v>
      </c>
    </row>
    <row r="130" spans="1:18" ht="17.100000000000001" customHeight="1" x14ac:dyDescent="0.25">
      <c r="A130" s="70"/>
      <c r="B130" s="70"/>
      <c r="C130" s="4" t="s">
        <v>62</v>
      </c>
      <c r="D130" s="40" t="s">
        <v>48</v>
      </c>
      <c r="E130" s="41">
        <v>360</v>
      </c>
      <c r="F130" s="41">
        <f>O130</f>
        <v>1425</v>
      </c>
      <c r="G130" s="42">
        <f>E130*$P$88</f>
        <v>2196</v>
      </c>
      <c r="H130" s="41">
        <f t="shared" si="42"/>
        <v>3621</v>
      </c>
      <c r="I130" s="41">
        <f t="shared" si="43"/>
        <v>3621</v>
      </c>
      <c r="J130" s="41">
        <f t="shared" si="44"/>
        <v>7242</v>
      </c>
      <c r="K130" s="41">
        <f t="shared" si="41"/>
        <v>7240</v>
      </c>
      <c r="L130">
        <v>10</v>
      </c>
      <c r="M130">
        <f t="shared" si="45"/>
        <v>7.46</v>
      </c>
      <c r="N130">
        <v>7.5</v>
      </c>
      <c r="O130">
        <f>N130*Q128</f>
        <v>1425</v>
      </c>
    </row>
    <row r="131" spans="1:18" ht="17.100000000000001" customHeight="1" x14ac:dyDescent="0.25">
      <c r="A131" s="70"/>
      <c r="B131" s="70"/>
      <c r="C131" s="4" t="s">
        <v>131</v>
      </c>
      <c r="D131" s="40" t="s">
        <v>49</v>
      </c>
      <c r="E131" s="41">
        <v>540</v>
      </c>
      <c r="F131" s="41">
        <f>O131</f>
        <v>2137.5</v>
      </c>
      <c r="G131" s="42">
        <f>E131*$P$88</f>
        <v>3294</v>
      </c>
      <c r="H131" s="41">
        <f t="shared" si="42"/>
        <v>5431.5</v>
      </c>
      <c r="I131" s="41">
        <f t="shared" si="43"/>
        <v>5432</v>
      </c>
      <c r="J131" s="41">
        <f t="shared" si="44"/>
        <v>10864</v>
      </c>
      <c r="K131" s="41">
        <f t="shared" si="41"/>
        <v>10860</v>
      </c>
      <c r="L131">
        <v>15</v>
      </c>
      <c r="M131">
        <f t="shared" si="45"/>
        <v>11.19</v>
      </c>
      <c r="N131">
        <v>11.25</v>
      </c>
      <c r="O131">
        <f>N131*Q128</f>
        <v>2137.5</v>
      </c>
      <c r="Q131">
        <v>300</v>
      </c>
      <c r="R131" s="24" t="s">
        <v>115</v>
      </c>
    </row>
    <row r="132" spans="1:18" ht="17.100000000000001" customHeight="1" x14ac:dyDescent="0.25">
      <c r="A132" s="70"/>
      <c r="B132" s="70"/>
      <c r="C132" s="4"/>
      <c r="D132" s="40" t="s">
        <v>50</v>
      </c>
      <c r="E132" s="41">
        <v>720</v>
      </c>
      <c r="F132" s="41">
        <f>O132</f>
        <v>2850</v>
      </c>
      <c r="G132" s="42">
        <f>E132*$P$88</f>
        <v>4392</v>
      </c>
      <c r="H132" s="41">
        <f t="shared" si="42"/>
        <v>7242</v>
      </c>
      <c r="I132" s="41">
        <f t="shared" si="43"/>
        <v>7242</v>
      </c>
      <c r="J132" s="41">
        <f t="shared" si="44"/>
        <v>14484</v>
      </c>
      <c r="K132" s="41">
        <f t="shared" si="41"/>
        <v>14480</v>
      </c>
      <c r="L132">
        <v>20</v>
      </c>
      <c r="M132">
        <f t="shared" si="45"/>
        <v>14.92</v>
      </c>
      <c r="N132">
        <v>15</v>
      </c>
      <c r="O132">
        <f>N132*Q128</f>
        <v>2850</v>
      </c>
    </row>
    <row r="133" spans="1:18" ht="17.100000000000001" customHeight="1" x14ac:dyDescent="0.25">
      <c r="A133" s="70"/>
      <c r="B133" s="70"/>
      <c r="C133" s="4"/>
      <c r="D133" s="40" t="s">
        <v>53</v>
      </c>
      <c r="E133" s="41">
        <v>900</v>
      </c>
      <c r="F133" s="41">
        <f>O133</f>
        <v>3562.5</v>
      </c>
      <c r="G133" s="42">
        <f>E133*$P$88</f>
        <v>5490</v>
      </c>
      <c r="H133" s="41">
        <f t="shared" si="42"/>
        <v>9052.5</v>
      </c>
      <c r="I133" s="41">
        <f t="shared" si="43"/>
        <v>9053</v>
      </c>
      <c r="J133" s="41">
        <f t="shared" si="44"/>
        <v>18106</v>
      </c>
      <c r="K133" s="41">
        <f t="shared" si="41"/>
        <v>18110</v>
      </c>
      <c r="L133">
        <v>25</v>
      </c>
      <c r="M133">
        <f t="shared" si="45"/>
        <v>18.649999999999999</v>
      </c>
      <c r="N133">
        <v>18.75</v>
      </c>
      <c r="O133">
        <f>N133*Q128</f>
        <v>3562.5</v>
      </c>
    </row>
    <row r="134" spans="1:18" ht="17.100000000000001" customHeight="1" x14ac:dyDescent="0.25">
      <c r="A134" s="70"/>
      <c r="B134" s="70"/>
      <c r="C134" s="4"/>
      <c r="D134" s="40" t="s">
        <v>54</v>
      </c>
      <c r="E134" s="41">
        <v>1404</v>
      </c>
      <c r="F134" s="41">
        <f>O134</f>
        <v>5510</v>
      </c>
      <c r="G134" s="42">
        <f>E134*$P$88</f>
        <v>8564.4</v>
      </c>
      <c r="H134" s="42">
        <f t="shared" si="42"/>
        <v>14074.4</v>
      </c>
      <c r="I134" s="41">
        <f t="shared" si="43"/>
        <v>14074</v>
      </c>
      <c r="J134" s="41">
        <f t="shared" si="44"/>
        <v>28148</v>
      </c>
      <c r="K134" s="41">
        <f t="shared" si="41"/>
        <v>28150</v>
      </c>
      <c r="L134">
        <v>39</v>
      </c>
      <c r="M134">
        <f t="shared" si="45"/>
        <v>29.094000000000001</v>
      </c>
      <c r="N134">
        <v>29</v>
      </c>
      <c r="O134">
        <f>N134*Q128</f>
        <v>5510</v>
      </c>
    </row>
    <row r="135" spans="1:18" ht="17.100000000000001" customHeight="1" x14ac:dyDescent="0.25">
      <c r="A135" s="70"/>
      <c r="B135" s="70"/>
      <c r="C135" s="4"/>
      <c r="D135" s="40" t="s">
        <v>55</v>
      </c>
      <c r="E135" s="41">
        <v>1440</v>
      </c>
      <c r="F135" s="41">
        <f>O135</f>
        <v>5652.5</v>
      </c>
      <c r="G135" s="42">
        <f>E135*$P$88</f>
        <v>8784</v>
      </c>
      <c r="H135" s="42">
        <f t="shared" si="42"/>
        <v>14436.5</v>
      </c>
      <c r="I135" s="41">
        <f t="shared" si="43"/>
        <v>14437</v>
      </c>
      <c r="J135" s="41">
        <f t="shared" si="44"/>
        <v>28874</v>
      </c>
      <c r="K135" s="41">
        <f t="shared" si="41"/>
        <v>28870</v>
      </c>
      <c r="L135">
        <v>40</v>
      </c>
      <c r="M135">
        <f t="shared" si="45"/>
        <v>29.84</v>
      </c>
      <c r="N135">
        <v>29.75</v>
      </c>
      <c r="O135">
        <f>N135*Q128</f>
        <v>5652.5</v>
      </c>
    </row>
    <row r="136" spans="1:18" ht="17.100000000000001" customHeight="1" x14ac:dyDescent="0.25">
      <c r="A136" s="70"/>
      <c r="B136" s="70"/>
      <c r="C136" s="4">
        <f>K128/5</f>
        <v>724</v>
      </c>
      <c r="D136" s="40" t="s">
        <v>56</v>
      </c>
      <c r="E136" s="41">
        <v>2376</v>
      </c>
      <c r="F136" s="41">
        <f>O136</f>
        <v>9357.5</v>
      </c>
      <c r="G136" s="42">
        <f>E136*$P$88</f>
        <v>14493.599999999999</v>
      </c>
      <c r="H136" s="42">
        <f t="shared" si="42"/>
        <v>23851.1</v>
      </c>
      <c r="I136" s="41">
        <f t="shared" si="43"/>
        <v>23851</v>
      </c>
      <c r="J136" s="41">
        <f t="shared" si="44"/>
        <v>47702</v>
      </c>
      <c r="K136" s="41">
        <f t="shared" si="41"/>
        <v>47700</v>
      </c>
      <c r="L136">
        <v>66</v>
      </c>
      <c r="M136">
        <f t="shared" si="45"/>
        <v>49.235999999999997</v>
      </c>
      <c r="N136">
        <v>49.25</v>
      </c>
      <c r="O136">
        <f>N136*Q128</f>
        <v>9357.5</v>
      </c>
    </row>
    <row r="137" spans="1:18" ht="17.100000000000001" customHeight="1" x14ac:dyDescent="0.25">
      <c r="A137" s="70"/>
      <c r="B137" s="70"/>
      <c r="C137" s="4">
        <f>C136*43</f>
        <v>31132</v>
      </c>
      <c r="D137" s="40" t="s">
        <v>57</v>
      </c>
      <c r="E137" s="41">
        <v>2412</v>
      </c>
      <c r="F137" s="41">
        <f>O137</f>
        <v>9500</v>
      </c>
      <c r="G137" s="42">
        <f>E137*$P$88</f>
        <v>14713.199999999999</v>
      </c>
      <c r="H137" s="42">
        <f t="shared" si="42"/>
        <v>24213.199999999997</v>
      </c>
      <c r="I137" s="41">
        <f t="shared" si="43"/>
        <v>24213</v>
      </c>
      <c r="J137" s="41">
        <f t="shared" si="44"/>
        <v>48426</v>
      </c>
      <c r="K137" s="41">
        <f t="shared" si="41"/>
        <v>48430</v>
      </c>
      <c r="L137">
        <v>67</v>
      </c>
      <c r="M137">
        <f t="shared" si="45"/>
        <v>49.981999999999999</v>
      </c>
      <c r="N137">
        <v>50</v>
      </c>
      <c r="O137">
        <f>N137*Q128</f>
        <v>9500</v>
      </c>
    </row>
    <row r="138" spans="1:18" ht="17.100000000000001" customHeight="1" x14ac:dyDescent="0.25">
      <c r="A138" s="70"/>
      <c r="B138" s="70"/>
      <c r="C138" s="67"/>
      <c r="D138" s="40" t="s">
        <v>58</v>
      </c>
      <c r="E138" s="41">
        <v>2520</v>
      </c>
      <c r="F138" s="41">
        <f>O138</f>
        <v>9927.5</v>
      </c>
      <c r="G138" s="42">
        <f>E138*$P$88</f>
        <v>15372</v>
      </c>
      <c r="H138" s="42">
        <f t="shared" si="42"/>
        <v>25299.5</v>
      </c>
      <c r="I138" s="41">
        <f t="shared" si="43"/>
        <v>25300</v>
      </c>
      <c r="J138" s="41">
        <f t="shared" si="44"/>
        <v>50600</v>
      </c>
      <c r="K138" s="41">
        <f t="shared" si="41"/>
        <v>50600</v>
      </c>
      <c r="L138">
        <v>70</v>
      </c>
      <c r="M138">
        <f t="shared" si="45"/>
        <v>52.22</v>
      </c>
      <c r="N138">
        <v>52.25</v>
      </c>
      <c r="O138">
        <f>N138*Q128</f>
        <v>9927.5</v>
      </c>
    </row>
    <row r="139" spans="1:18" ht="17.100000000000001" customHeight="1" x14ac:dyDescent="0.25">
      <c r="A139" s="70"/>
      <c r="B139" s="70"/>
      <c r="C139" s="4"/>
      <c r="D139" s="40" t="s">
        <v>59</v>
      </c>
      <c r="E139" s="41">
        <v>2880</v>
      </c>
      <c r="F139" s="41">
        <f>O139</f>
        <v>11352.5</v>
      </c>
      <c r="G139" s="42">
        <f>E139*$P$88</f>
        <v>17568</v>
      </c>
      <c r="H139" s="42">
        <f t="shared" si="42"/>
        <v>28920.5</v>
      </c>
      <c r="I139" s="41">
        <f t="shared" si="43"/>
        <v>28921</v>
      </c>
      <c r="J139" s="41">
        <f t="shared" si="44"/>
        <v>57842</v>
      </c>
      <c r="K139" s="41">
        <f t="shared" si="41"/>
        <v>57840</v>
      </c>
      <c r="L139">
        <v>80</v>
      </c>
      <c r="M139">
        <f t="shared" si="45"/>
        <v>59.68</v>
      </c>
      <c r="N139">
        <v>59.75</v>
      </c>
      <c r="O139">
        <f>N139*Q128</f>
        <v>11352.5</v>
      </c>
    </row>
    <row r="140" spans="1:18" ht="17.100000000000001" customHeight="1" x14ac:dyDescent="0.25">
      <c r="A140" s="70"/>
      <c r="B140" s="70"/>
      <c r="C140" s="4"/>
      <c r="D140" s="40" t="s">
        <v>60</v>
      </c>
      <c r="E140" s="41">
        <v>3600</v>
      </c>
      <c r="F140" s="41">
        <f>O140</f>
        <v>22350</v>
      </c>
      <c r="G140" s="42">
        <f>E140*$P$88</f>
        <v>21960</v>
      </c>
      <c r="H140" s="42">
        <f t="shared" si="42"/>
        <v>44310</v>
      </c>
      <c r="I140" s="41">
        <f t="shared" si="43"/>
        <v>44310</v>
      </c>
      <c r="J140" s="41">
        <f t="shared" si="44"/>
        <v>88620</v>
      </c>
      <c r="K140" s="41">
        <f t="shared" si="41"/>
        <v>88620</v>
      </c>
      <c r="L140">
        <v>100</v>
      </c>
      <c r="M140">
        <f t="shared" si="45"/>
        <v>74.599999999999994</v>
      </c>
      <c r="N140">
        <v>74.5</v>
      </c>
      <c r="O140">
        <f>N140*Q131</f>
        <v>22350</v>
      </c>
    </row>
    <row r="141" spans="1:18" ht="17.100000000000001" customHeight="1" x14ac:dyDescent="0.25">
      <c r="A141" s="70"/>
      <c r="B141" s="70"/>
      <c r="C141" s="4" t="s">
        <v>114</v>
      </c>
      <c r="D141" s="40" t="s">
        <v>117</v>
      </c>
      <c r="E141" s="41">
        <f>200*36</f>
        <v>7200</v>
      </c>
      <c r="F141" s="41">
        <f>O141</f>
        <v>44775</v>
      </c>
      <c r="G141" s="42">
        <f>E141*$P$88</f>
        <v>43920</v>
      </c>
      <c r="H141" s="42">
        <f>F141+G141</f>
        <v>88695</v>
      </c>
      <c r="I141" s="41">
        <f>ROUND(H141,0)</f>
        <v>88695</v>
      </c>
      <c r="J141" s="41">
        <f>I141*2</f>
        <v>177390</v>
      </c>
      <c r="K141" s="41">
        <f>ROUND(J141,-1)</f>
        <v>177390</v>
      </c>
      <c r="L141">
        <v>200</v>
      </c>
      <c r="M141">
        <f t="shared" si="45"/>
        <v>149.19999999999999</v>
      </c>
      <c r="N141">
        <v>149.25</v>
      </c>
      <c r="O141">
        <f>N141*Q131</f>
        <v>44775</v>
      </c>
    </row>
    <row r="142" spans="1:18" ht="17.100000000000001" customHeight="1" x14ac:dyDescent="0.25">
      <c r="A142" s="69"/>
      <c r="B142" s="69"/>
      <c r="C142" s="4"/>
      <c r="D142" s="40" t="s">
        <v>118</v>
      </c>
      <c r="E142" s="41">
        <f>500*36</f>
        <v>18000</v>
      </c>
      <c r="F142" s="41">
        <f>O142</f>
        <v>111900</v>
      </c>
      <c r="G142" s="42">
        <f>E142*$P$88</f>
        <v>109800</v>
      </c>
      <c r="H142" s="42">
        <f>F142+G142</f>
        <v>221700</v>
      </c>
      <c r="I142" s="41">
        <f>ROUND(H142,0)</f>
        <v>221700</v>
      </c>
      <c r="J142" s="41">
        <f>I142*2</f>
        <v>443400</v>
      </c>
      <c r="K142" s="41">
        <f>ROUND(J142,-1)</f>
        <v>443400</v>
      </c>
      <c r="L142">
        <v>500</v>
      </c>
      <c r="M142" s="7">
        <f t="shared" si="45"/>
        <v>373</v>
      </c>
      <c r="N142">
        <v>373</v>
      </c>
      <c r="O142">
        <f>N142*Q131</f>
        <v>111900</v>
      </c>
    </row>
    <row r="143" spans="1:18" ht="17.100000000000001" customHeight="1" x14ac:dyDescent="0.25">
      <c r="A143" s="13"/>
      <c r="B143" s="54"/>
      <c r="C143" s="4"/>
      <c r="D143" s="40"/>
      <c r="E143" s="41"/>
      <c r="F143" s="41"/>
      <c r="G143" s="42"/>
      <c r="H143" s="41"/>
      <c r="I143" s="41"/>
      <c r="J143" s="41"/>
      <c r="K143" s="41"/>
    </row>
    <row r="144" spans="1:18" s="60" customFormat="1" ht="17.100000000000001" customHeight="1" x14ac:dyDescent="0.25">
      <c r="A144" s="68">
        <v>8</v>
      </c>
      <c r="B144" s="73" t="s">
        <v>10</v>
      </c>
      <c r="C144" s="56" t="s">
        <v>61</v>
      </c>
      <c r="D144" s="57" t="s">
        <v>46</v>
      </c>
      <c r="E144" s="58">
        <v>180</v>
      </c>
      <c r="F144" s="58">
        <f>O144</f>
        <v>525</v>
      </c>
      <c r="G144" s="59">
        <f>E144*$P$108</f>
        <v>1044</v>
      </c>
      <c r="H144" s="58">
        <f t="shared" ref="H144:H156" si="46">F144+G144</f>
        <v>1569</v>
      </c>
      <c r="I144" s="58">
        <f t="shared" ref="I144:I156" si="47">ROUND(H144,0)</f>
        <v>1569</v>
      </c>
      <c r="J144" s="58">
        <f t="shared" ref="J144:J156" si="48">I144*2</f>
        <v>3138</v>
      </c>
      <c r="K144" s="58">
        <f t="shared" si="41"/>
        <v>3140</v>
      </c>
      <c r="L144" s="60">
        <v>5</v>
      </c>
      <c r="M144" s="60">
        <f>L144*0.746</f>
        <v>3.73</v>
      </c>
      <c r="N144" s="60">
        <f>3.75</f>
        <v>3.75</v>
      </c>
      <c r="O144" s="60">
        <f>N144*Q144</f>
        <v>525</v>
      </c>
      <c r="Q144" s="60">
        <v>140</v>
      </c>
    </row>
    <row r="145" spans="1:18" ht="17.100000000000001" customHeight="1" x14ac:dyDescent="0.25">
      <c r="A145" s="70"/>
      <c r="B145" s="70"/>
      <c r="C145" s="4" t="s">
        <v>62</v>
      </c>
      <c r="D145" s="40" t="s">
        <v>47</v>
      </c>
      <c r="E145" s="41">
        <v>270</v>
      </c>
      <c r="F145" s="41">
        <f>O145</f>
        <v>770</v>
      </c>
      <c r="G145" s="42">
        <f>E145*$P$108</f>
        <v>1566</v>
      </c>
      <c r="H145" s="41">
        <f t="shared" si="46"/>
        <v>2336</v>
      </c>
      <c r="I145" s="41">
        <f t="shared" si="47"/>
        <v>2336</v>
      </c>
      <c r="J145" s="41">
        <f t="shared" si="48"/>
        <v>4672</v>
      </c>
      <c r="K145" s="41">
        <f t="shared" si="41"/>
        <v>4670</v>
      </c>
      <c r="L145">
        <v>7.5</v>
      </c>
      <c r="M145">
        <f t="shared" ref="M145:M158" si="49">L145*0.746</f>
        <v>5.5949999999999998</v>
      </c>
      <c r="N145">
        <v>5.5</v>
      </c>
      <c r="O145">
        <f>N145*Q144</f>
        <v>770</v>
      </c>
    </row>
    <row r="146" spans="1:18" ht="17.100000000000001" customHeight="1" x14ac:dyDescent="0.25">
      <c r="A146" s="70"/>
      <c r="B146" s="70"/>
      <c r="C146" s="4" t="s">
        <v>93</v>
      </c>
      <c r="D146" s="40" t="s">
        <v>48</v>
      </c>
      <c r="E146" s="41">
        <v>360</v>
      </c>
      <c r="F146" s="41">
        <f>O146</f>
        <v>1050</v>
      </c>
      <c r="G146" s="42">
        <f>E146*$P$108</f>
        <v>2088</v>
      </c>
      <c r="H146" s="41">
        <f t="shared" si="46"/>
        <v>3138</v>
      </c>
      <c r="I146" s="41">
        <f t="shared" si="47"/>
        <v>3138</v>
      </c>
      <c r="J146" s="41">
        <f t="shared" si="48"/>
        <v>6276</v>
      </c>
      <c r="K146" s="41">
        <f t="shared" si="41"/>
        <v>6280</v>
      </c>
      <c r="L146">
        <v>10</v>
      </c>
      <c r="M146">
        <f t="shared" si="49"/>
        <v>7.46</v>
      </c>
      <c r="N146">
        <v>7.5</v>
      </c>
      <c r="O146">
        <f>N146*Q144</f>
        <v>1050</v>
      </c>
    </row>
    <row r="147" spans="1:18" ht="17.100000000000001" customHeight="1" x14ac:dyDescent="0.25">
      <c r="A147" s="70"/>
      <c r="B147" s="70"/>
      <c r="C147" s="4"/>
      <c r="D147" s="40" t="s">
        <v>49</v>
      </c>
      <c r="E147" s="41">
        <v>540</v>
      </c>
      <c r="F147" s="41">
        <f>O147</f>
        <v>1575</v>
      </c>
      <c r="G147" s="42">
        <f>E147*$P$108</f>
        <v>3132</v>
      </c>
      <c r="H147" s="41">
        <f t="shared" si="46"/>
        <v>4707</v>
      </c>
      <c r="I147" s="41">
        <f t="shared" si="47"/>
        <v>4707</v>
      </c>
      <c r="J147" s="41">
        <f t="shared" si="48"/>
        <v>9414</v>
      </c>
      <c r="K147" s="41">
        <f t="shared" si="41"/>
        <v>9410</v>
      </c>
      <c r="L147">
        <v>15</v>
      </c>
      <c r="M147">
        <f t="shared" si="49"/>
        <v>11.19</v>
      </c>
      <c r="N147">
        <v>11.25</v>
      </c>
      <c r="O147">
        <f>N147*Q144</f>
        <v>1575</v>
      </c>
      <c r="Q147">
        <v>250</v>
      </c>
      <c r="R147" s="24" t="s">
        <v>115</v>
      </c>
    </row>
    <row r="148" spans="1:18" ht="17.100000000000001" customHeight="1" x14ac:dyDescent="0.25">
      <c r="A148" s="70"/>
      <c r="B148" s="70"/>
      <c r="C148" s="4"/>
      <c r="D148" s="40" t="s">
        <v>50</v>
      </c>
      <c r="E148" s="41">
        <v>720</v>
      </c>
      <c r="F148" s="41">
        <f>O148</f>
        <v>2100</v>
      </c>
      <c r="G148" s="42">
        <f>E148*$P$108</f>
        <v>4176</v>
      </c>
      <c r="H148" s="41">
        <f t="shared" si="46"/>
        <v>6276</v>
      </c>
      <c r="I148" s="41">
        <f t="shared" si="47"/>
        <v>6276</v>
      </c>
      <c r="J148" s="41">
        <f t="shared" si="48"/>
        <v>12552</v>
      </c>
      <c r="K148" s="41">
        <f t="shared" si="41"/>
        <v>12550</v>
      </c>
      <c r="L148">
        <v>20</v>
      </c>
      <c r="M148">
        <f t="shared" si="49"/>
        <v>14.92</v>
      </c>
      <c r="N148">
        <v>15</v>
      </c>
      <c r="O148">
        <f>N148*Q144</f>
        <v>2100</v>
      </c>
    </row>
    <row r="149" spans="1:18" ht="17.100000000000001" customHeight="1" x14ac:dyDescent="0.25">
      <c r="A149" s="70"/>
      <c r="B149" s="70"/>
      <c r="C149" s="4"/>
      <c r="D149" s="40" t="s">
        <v>53</v>
      </c>
      <c r="E149" s="41">
        <v>900</v>
      </c>
      <c r="F149" s="41">
        <f>O149</f>
        <v>2625</v>
      </c>
      <c r="G149" s="42">
        <f>E149*$P$108</f>
        <v>5220</v>
      </c>
      <c r="H149" s="41">
        <f t="shared" si="46"/>
        <v>7845</v>
      </c>
      <c r="I149" s="41">
        <f t="shared" si="47"/>
        <v>7845</v>
      </c>
      <c r="J149" s="41">
        <f t="shared" si="48"/>
        <v>15690</v>
      </c>
      <c r="K149" s="41">
        <f t="shared" si="41"/>
        <v>15690</v>
      </c>
      <c r="L149">
        <v>25</v>
      </c>
      <c r="M149">
        <f t="shared" si="49"/>
        <v>18.649999999999999</v>
      </c>
      <c r="N149">
        <v>18.75</v>
      </c>
      <c r="O149">
        <f>N149*Q144</f>
        <v>2625</v>
      </c>
    </row>
    <row r="150" spans="1:18" ht="17.100000000000001" hidden="1" customHeight="1" x14ac:dyDescent="0.25">
      <c r="A150" s="70"/>
      <c r="B150" s="70"/>
      <c r="C150" s="4"/>
      <c r="D150" s="40" t="s">
        <v>54</v>
      </c>
      <c r="E150" s="41">
        <v>1404</v>
      </c>
      <c r="F150" s="41">
        <f>O150</f>
        <v>4060</v>
      </c>
      <c r="G150" s="42">
        <f>E150*$P$108</f>
        <v>8143.2</v>
      </c>
      <c r="H150" s="41">
        <f t="shared" si="46"/>
        <v>12203.2</v>
      </c>
      <c r="I150" s="41">
        <f t="shared" si="47"/>
        <v>12203</v>
      </c>
      <c r="J150" s="41">
        <f t="shared" si="48"/>
        <v>24406</v>
      </c>
      <c r="K150" s="41">
        <f t="shared" si="41"/>
        <v>24410</v>
      </c>
      <c r="L150">
        <v>39</v>
      </c>
      <c r="M150">
        <f t="shared" si="49"/>
        <v>29.094000000000001</v>
      </c>
      <c r="N150">
        <v>29</v>
      </c>
      <c r="O150">
        <f>N150*Q144</f>
        <v>4060</v>
      </c>
    </row>
    <row r="151" spans="1:18" ht="17.100000000000001" hidden="1" customHeight="1" x14ac:dyDescent="0.25">
      <c r="A151" s="70"/>
      <c r="B151" s="70"/>
      <c r="C151" s="4"/>
      <c r="D151" s="40" t="s">
        <v>55</v>
      </c>
      <c r="E151" s="41">
        <v>1440</v>
      </c>
      <c r="F151" s="41">
        <f>O151</f>
        <v>4165</v>
      </c>
      <c r="G151" s="42">
        <f>E151*$P$108</f>
        <v>8352</v>
      </c>
      <c r="H151" s="41">
        <f t="shared" si="46"/>
        <v>12517</v>
      </c>
      <c r="I151" s="41">
        <f t="shared" si="47"/>
        <v>12517</v>
      </c>
      <c r="J151" s="41">
        <f t="shared" si="48"/>
        <v>25034</v>
      </c>
      <c r="K151" s="41">
        <f t="shared" si="41"/>
        <v>25030</v>
      </c>
      <c r="L151">
        <v>40</v>
      </c>
      <c r="M151">
        <f t="shared" si="49"/>
        <v>29.84</v>
      </c>
      <c r="N151">
        <v>29.75</v>
      </c>
      <c r="O151">
        <f>N151*Q144</f>
        <v>4165</v>
      </c>
    </row>
    <row r="152" spans="1:18" ht="17.100000000000001" hidden="1" customHeight="1" x14ac:dyDescent="0.25">
      <c r="A152" s="70"/>
      <c r="B152" s="70"/>
      <c r="C152" s="4"/>
      <c r="D152" s="40" t="s">
        <v>56</v>
      </c>
      <c r="E152" s="41">
        <v>2376</v>
      </c>
      <c r="F152" s="41">
        <f>O152</f>
        <v>6895</v>
      </c>
      <c r="G152" s="42">
        <f>E152*$P$108</f>
        <v>13780.8</v>
      </c>
      <c r="H152" s="41">
        <f t="shared" si="46"/>
        <v>20675.8</v>
      </c>
      <c r="I152" s="41">
        <f t="shared" si="47"/>
        <v>20676</v>
      </c>
      <c r="J152" s="41">
        <f t="shared" si="48"/>
        <v>41352</v>
      </c>
      <c r="K152" s="41">
        <f t="shared" si="41"/>
        <v>41350</v>
      </c>
      <c r="L152">
        <v>66</v>
      </c>
      <c r="M152">
        <f t="shared" si="49"/>
        <v>49.235999999999997</v>
      </c>
      <c r="N152">
        <v>49.25</v>
      </c>
      <c r="O152">
        <f>N152*Q144</f>
        <v>6895</v>
      </c>
    </row>
    <row r="153" spans="1:18" ht="17.100000000000001" hidden="1" customHeight="1" x14ac:dyDescent="0.25">
      <c r="A153" s="70"/>
      <c r="B153" s="70"/>
      <c r="C153" s="4"/>
      <c r="D153" s="40" t="s">
        <v>57</v>
      </c>
      <c r="E153" s="41">
        <v>2412</v>
      </c>
      <c r="F153" s="41">
        <f>O153</f>
        <v>7000</v>
      </c>
      <c r="G153" s="42">
        <f>E153*$P$108</f>
        <v>13989.6</v>
      </c>
      <c r="H153" s="41">
        <f t="shared" si="46"/>
        <v>20989.599999999999</v>
      </c>
      <c r="I153" s="41">
        <f t="shared" si="47"/>
        <v>20990</v>
      </c>
      <c r="J153" s="41">
        <f t="shared" si="48"/>
        <v>41980</v>
      </c>
      <c r="K153" s="41">
        <f t="shared" si="41"/>
        <v>41980</v>
      </c>
      <c r="L153">
        <v>67</v>
      </c>
      <c r="M153">
        <f t="shared" si="49"/>
        <v>49.981999999999999</v>
      </c>
      <c r="N153">
        <v>50</v>
      </c>
      <c r="O153">
        <f>N153*Q144</f>
        <v>7000</v>
      </c>
    </row>
    <row r="154" spans="1:18" ht="17.100000000000001" hidden="1" customHeight="1" x14ac:dyDescent="0.25">
      <c r="A154" s="70"/>
      <c r="B154" s="70"/>
      <c r="C154" s="4"/>
      <c r="D154" s="40" t="s">
        <v>58</v>
      </c>
      <c r="E154" s="41">
        <v>2520</v>
      </c>
      <c r="F154" s="41">
        <f>O154</f>
        <v>7315</v>
      </c>
      <c r="G154" s="42">
        <f>E154*$P$108</f>
        <v>14616</v>
      </c>
      <c r="H154" s="41">
        <f t="shared" si="46"/>
        <v>21931</v>
      </c>
      <c r="I154" s="41">
        <f t="shared" si="47"/>
        <v>21931</v>
      </c>
      <c r="J154" s="41">
        <f t="shared" si="48"/>
        <v>43862</v>
      </c>
      <c r="K154" s="41">
        <f t="shared" si="41"/>
        <v>43860</v>
      </c>
      <c r="L154">
        <v>70</v>
      </c>
      <c r="M154">
        <f t="shared" si="49"/>
        <v>52.22</v>
      </c>
      <c r="N154">
        <v>52.25</v>
      </c>
      <c r="O154">
        <f>N154*Q144</f>
        <v>7315</v>
      </c>
    </row>
    <row r="155" spans="1:18" ht="17.100000000000001" hidden="1" customHeight="1" x14ac:dyDescent="0.25">
      <c r="A155" s="70"/>
      <c r="B155" s="70"/>
      <c r="C155" s="4"/>
      <c r="D155" s="40" t="s">
        <v>59</v>
      </c>
      <c r="E155" s="41">
        <v>2880</v>
      </c>
      <c r="F155" s="41">
        <f>O155</f>
        <v>8365</v>
      </c>
      <c r="G155" s="42">
        <f>E155*$P$108</f>
        <v>16704</v>
      </c>
      <c r="H155" s="41">
        <f t="shared" si="46"/>
        <v>25069</v>
      </c>
      <c r="I155" s="41">
        <f t="shared" si="47"/>
        <v>25069</v>
      </c>
      <c r="J155" s="41">
        <f t="shared" si="48"/>
        <v>50138</v>
      </c>
      <c r="K155" s="41">
        <f t="shared" si="41"/>
        <v>50140</v>
      </c>
      <c r="L155">
        <v>80</v>
      </c>
      <c r="M155">
        <f t="shared" si="49"/>
        <v>59.68</v>
      </c>
      <c r="N155">
        <v>59.75</v>
      </c>
      <c r="O155">
        <f>N155*Q144</f>
        <v>8365</v>
      </c>
    </row>
    <row r="156" spans="1:18" ht="17.100000000000001" hidden="1" customHeight="1" x14ac:dyDescent="0.25">
      <c r="A156" s="70"/>
      <c r="B156" s="70"/>
      <c r="C156" s="4"/>
      <c r="D156" s="40" t="s">
        <v>60</v>
      </c>
      <c r="E156" s="41">
        <v>3600</v>
      </c>
      <c r="F156" s="41">
        <f>O156</f>
        <v>18625</v>
      </c>
      <c r="G156" s="42">
        <f>E156*$P$108</f>
        <v>20880</v>
      </c>
      <c r="H156" s="41">
        <f t="shared" si="46"/>
        <v>39505</v>
      </c>
      <c r="I156" s="41">
        <f t="shared" si="47"/>
        <v>39505</v>
      </c>
      <c r="J156" s="41">
        <f t="shared" si="48"/>
        <v>79010</v>
      </c>
      <c r="K156" s="41">
        <f t="shared" si="41"/>
        <v>79010</v>
      </c>
      <c r="L156">
        <v>100</v>
      </c>
      <c r="M156">
        <f t="shared" si="49"/>
        <v>74.599999999999994</v>
      </c>
      <c r="N156">
        <v>74.5</v>
      </c>
      <c r="O156">
        <f>N156*Q147</f>
        <v>18625</v>
      </c>
    </row>
    <row r="157" spans="1:18" ht="17.100000000000001" hidden="1" customHeight="1" x14ac:dyDescent="0.25">
      <c r="A157" s="70"/>
      <c r="B157" s="70"/>
      <c r="C157" s="4" t="s">
        <v>114</v>
      </c>
      <c r="D157" s="40" t="s">
        <v>117</v>
      </c>
      <c r="E157" s="41">
        <f>200*36</f>
        <v>7200</v>
      </c>
      <c r="F157" s="41">
        <f>O157</f>
        <v>37312.5</v>
      </c>
      <c r="G157" s="42">
        <f>E157*$P$108</f>
        <v>41760</v>
      </c>
      <c r="H157" s="41">
        <f>F157+G157</f>
        <v>79072.5</v>
      </c>
      <c r="I157" s="41">
        <f>ROUND(H157,0)</f>
        <v>79073</v>
      </c>
      <c r="J157" s="41">
        <f>I157*2</f>
        <v>158146</v>
      </c>
      <c r="K157" s="41">
        <f>ROUND(J157,-1)</f>
        <v>158150</v>
      </c>
      <c r="L157">
        <v>200</v>
      </c>
      <c r="M157">
        <f t="shared" si="49"/>
        <v>149.19999999999999</v>
      </c>
      <c r="N157">
        <v>149.25</v>
      </c>
      <c r="O157">
        <f>N157*Q147</f>
        <v>37312.5</v>
      </c>
    </row>
    <row r="158" spans="1:18" ht="17.100000000000001" hidden="1" customHeight="1" x14ac:dyDescent="0.25">
      <c r="A158" s="69"/>
      <c r="B158" s="69"/>
      <c r="C158" s="4"/>
      <c r="D158" s="40" t="s">
        <v>118</v>
      </c>
      <c r="E158" s="41">
        <f>500*36</f>
        <v>18000</v>
      </c>
      <c r="F158" s="41">
        <f>O158</f>
        <v>93250</v>
      </c>
      <c r="G158" s="42">
        <f>E158*$P$108</f>
        <v>104400</v>
      </c>
      <c r="H158" s="41">
        <f>F158+G158</f>
        <v>197650</v>
      </c>
      <c r="I158" s="41">
        <f>ROUND(H158,0)</f>
        <v>197650</v>
      </c>
      <c r="J158" s="41">
        <f>I158*2</f>
        <v>395300</v>
      </c>
      <c r="K158" s="41">
        <f>ROUND(J158,-1)</f>
        <v>395300</v>
      </c>
      <c r="L158">
        <v>500</v>
      </c>
      <c r="M158">
        <f t="shared" si="49"/>
        <v>373</v>
      </c>
      <c r="N158">
        <v>373</v>
      </c>
      <c r="O158">
        <f>N158*Q147</f>
        <v>93250</v>
      </c>
    </row>
    <row r="159" spans="1:18" ht="17.100000000000001" customHeight="1" x14ac:dyDescent="0.25">
      <c r="B159" s="33"/>
      <c r="D159" s="40"/>
      <c r="E159" s="41"/>
      <c r="F159" s="41"/>
      <c r="G159" s="42"/>
      <c r="H159" s="41"/>
      <c r="I159" s="41"/>
      <c r="J159" s="41"/>
      <c r="K159" s="41"/>
    </row>
    <row r="160" spans="1:18" s="60" customFormat="1" ht="17.100000000000001" customHeight="1" x14ac:dyDescent="0.25">
      <c r="A160" s="68">
        <v>9</v>
      </c>
      <c r="B160" s="73" t="s">
        <v>125</v>
      </c>
      <c r="C160" s="56" t="s">
        <v>12</v>
      </c>
      <c r="D160" s="57" t="s">
        <v>63</v>
      </c>
      <c r="E160" s="58">
        <v>83</v>
      </c>
      <c r="F160" s="58">
        <f>Q160</f>
        <v>180</v>
      </c>
      <c r="G160" s="59">
        <f>E160*$P$160</f>
        <v>456.5</v>
      </c>
      <c r="H160" s="58">
        <f>F160+G160</f>
        <v>636.5</v>
      </c>
      <c r="I160" s="58">
        <f>ROUND(H160,0)</f>
        <v>637</v>
      </c>
      <c r="J160" s="58">
        <f>I160*2</f>
        <v>1274</v>
      </c>
      <c r="K160" s="58">
        <f>ROUND(J160,-1)</f>
        <v>1270</v>
      </c>
      <c r="P160" s="61">
        <v>5.5</v>
      </c>
      <c r="Q160" s="60">
        <v>180</v>
      </c>
    </row>
    <row r="161" spans="1:18" ht="17.100000000000001" customHeight="1" x14ac:dyDescent="0.25">
      <c r="A161" s="70"/>
      <c r="B161" s="70"/>
      <c r="C161" s="3"/>
      <c r="D161" s="40" t="s">
        <v>119</v>
      </c>
      <c r="E161" s="41">
        <f>E160*67</f>
        <v>5561</v>
      </c>
      <c r="F161" s="41">
        <f>Q160*67</f>
        <v>12060</v>
      </c>
      <c r="G161" s="42">
        <f>E161*$P$160</f>
        <v>30585.5</v>
      </c>
      <c r="H161" s="41">
        <f>F161+G161</f>
        <v>42645.5</v>
      </c>
      <c r="I161" s="41">
        <f>ROUND(H161,0)</f>
        <v>42646</v>
      </c>
      <c r="J161" s="41">
        <f>I161*2</f>
        <v>85292</v>
      </c>
      <c r="K161" s="41">
        <f>ROUND(J161,-1)</f>
        <v>85290</v>
      </c>
      <c r="P161" s="7"/>
      <c r="Q161">
        <v>275</v>
      </c>
      <c r="R161" s="24" t="s">
        <v>115</v>
      </c>
    </row>
    <row r="162" spans="1:18" ht="17.100000000000001" customHeight="1" x14ac:dyDescent="0.25">
      <c r="A162" s="69"/>
      <c r="B162" s="69"/>
      <c r="C162" s="4" t="s">
        <v>114</v>
      </c>
      <c r="D162" s="40" t="s">
        <v>120</v>
      </c>
      <c r="E162" s="41">
        <f>E160*70</f>
        <v>5810</v>
      </c>
      <c r="F162" s="41">
        <f>67*Q160+3*Q161</f>
        <v>12885</v>
      </c>
      <c r="G162" s="42">
        <f>E162*$P$160</f>
        <v>31955</v>
      </c>
      <c r="H162" s="41">
        <f>F162+G162</f>
        <v>44840</v>
      </c>
      <c r="I162" s="41">
        <f>ROUND(H162,0)</f>
        <v>44840</v>
      </c>
      <c r="J162" s="41">
        <f>I162*2</f>
        <v>89680</v>
      </c>
      <c r="K162" s="41">
        <f>ROUND(J162,-1)</f>
        <v>89680</v>
      </c>
      <c r="P162" s="7"/>
    </row>
    <row r="163" spans="1:18" ht="17.100000000000001" customHeight="1" x14ac:dyDescent="0.25">
      <c r="A163" s="14"/>
      <c r="B163" s="54"/>
      <c r="C163" s="3"/>
      <c r="D163" s="40"/>
      <c r="E163" s="41"/>
      <c r="F163" s="41"/>
      <c r="G163" s="42"/>
      <c r="H163" s="41"/>
      <c r="I163" s="41"/>
      <c r="J163" s="41"/>
      <c r="K163" s="41"/>
    </row>
    <row r="164" spans="1:18" s="60" customFormat="1" ht="17.100000000000001" customHeight="1" x14ac:dyDescent="0.25">
      <c r="A164" s="78">
        <v>10</v>
      </c>
      <c r="B164" s="77" t="s">
        <v>126</v>
      </c>
      <c r="C164" s="56" t="s">
        <v>13</v>
      </c>
      <c r="D164" s="57" t="s">
        <v>64</v>
      </c>
      <c r="E164" s="58">
        <v>360</v>
      </c>
      <c r="F164" s="58">
        <v>175</v>
      </c>
      <c r="G164" s="59">
        <f>E164*$P$164</f>
        <v>2520</v>
      </c>
      <c r="H164" s="58">
        <f>F164+G164</f>
        <v>2695</v>
      </c>
      <c r="I164" s="58">
        <f>ROUND(H164,0)</f>
        <v>2695</v>
      </c>
      <c r="J164" s="58">
        <f>I164*2</f>
        <v>5390</v>
      </c>
      <c r="K164" s="58">
        <f>ROUND(J164,-1)</f>
        <v>5390</v>
      </c>
      <c r="P164" s="61">
        <v>7</v>
      </c>
    </row>
    <row r="165" spans="1:18" s="60" customFormat="1" ht="17.100000000000001" customHeight="1" x14ac:dyDescent="0.25">
      <c r="A165" s="69"/>
      <c r="B165" s="69"/>
      <c r="C165" s="56" t="s">
        <v>124</v>
      </c>
      <c r="D165" s="57" t="s">
        <v>64</v>
      </c>
      <c r="E165" s="58">
        <v>360</v>
      </c>
      <c r="F165" s="58">
        <v>175</v>
      </c>
      <c r="G165" s="59">
        <f>E165*$P$165</f>
        <v>2160</v>
      </c>
      <c r="H165" s="58">
        <f>F165+G165</f>
        <v>2335</v>
      </c>
      <c r="I165" s="58">
        <f>ROUND(H165,0)</f>
        <v>2335</v>
      </c>
      <c r="J165" s="58">
        <f>I165*2</f>
        <v>4670</v>
      </c>
      <c r="K165" s="58">
        <f>ROUND(J165,-1)</f>
        <v>4670</v>
      </c>
      <c r="P165" s="61">
        <v>6</v>
      </c>
    </row>
    <row r="166" spans="1:18" ht="17.100000000000001" customHeight="1" x14ac:dyDescent="0.25">
      <c r="A166" s="13"/>
      <c r="B166" s="55"/>
      <c r="C166" s="3"/>
      <c r="D166" s="40"/>
      <c r="E166" s="41"/>
      <c r="F166" s="41"/>
      <c r="G166" s="42"/>
      <c r="H166" s="41"/>
      <c r="I166" s="41"/>
      <c r="J166" s="41"/>
      <c r="K166" s="41"/>
      <c r="P166" s="7"/>
    </row>
    <row r="167" spans="1:18" s="60" customFormat="1" ht="17.100000000000001" customHeight="1" x14ac:dyDescent="0.25">
      <c r="A167" s="64">
        <v>11</v>
      </c>
      <c r="B167" s="65" t="s">
        <v>66</v>
      </c>
      <c r="C167" s="66" t="s">
        <v>65</v>
      </c>
      <c r="D167" s="57" t="s">
        <v>63</v>
      </c>
      <c r="E167" s="58">
        <v>100</v>
      </c>
      <c r="F167" s="58">
        <v>0</v>
      </c>
      <c r="G167" s="59">
        <v>565</v>
      </c>
      <c r="H167" s="58">
        <f>F167+G167</f>
        <v>565</v>
      </c>
      <c r="I167" s="58">
        <f>ROUND(H167,0)</f>
        <v>565</v>
      </c>
      <c r="J167" s="58">
        <f>I167*3</f>
        <v>1695</v>
      </c>
      <c r="K167" s="58">
        <f>ROUND(J167,-1)</f>
        <v>1700</v>
      </c>
    </row>
    <row r="168" spans="1:18" ht="17.100000000000001" customHeight="1" x14ac:dyDescent="0.25">
      <c r="A168" s="13"/>
      <c r="B168" s="54"/>
      <c r="C168" s="16"/>
      <c r="D168" s="40"/>
      <c r="E168" s="41"/>
      <c r="F168" s="41"/>
      <c r="G168" s="42"/>
      <c r="H168" s="41"/>
      <c r="I168" s="41"/>
      <c r="J168" s="41"/>
      <c r="K168" s="41"/>
    </row>
    <row r="169" spans="1:18" s="60" customFormat="1" ht="17.100000000000001" customHeight="1" x14ac:dyDescent="0.25">
      <c r="A169" s="64">
        <v>12</v>
      </c>
      <c r="B169" s="65" t="s">
        <v>68</v>
      </c>
      <c r="C169" s="66" t="s">
        <v>69</v>
      </c>
      <c r="D169" s="57"/>
      <c r="E169" s="58">
        <v>100</v>
      </c>
      <c r="F169" s="58">
        <v>135</v>
      </c>
      <c r="G169" s="59">
        <v>410</v>
      </c>
      <c r="H169" s="58">
        <f>F169+G169</f>
        <v>545</v>
      </c>
      <c r="I169" s="58">
        <f>ROUND(H169,0)</f>
        <v>545</v>
      </c>
      <c r="J169" s="58">
        <f>I169*3</f>
        <v>1635</v>
      </c>
      <c r="K169" s="58">
        <f>ROUND(J169,-1)</f>
        <v>1640</v>
      </c>
    </row>
    <row r="170" spans="1:18" ht="17.100000000000001" customHeight="1" x14ac:dyDescent="0.25">
      <c r="A170" s="13"/>
      <c r="B170" s="54"/>
      <c r="C170" s="16"/>
      <c r="D170" s="40"/>
      <c r="E170" s="41"/>
      <c r="F170" s="41"/>
      <c r="G170" s="42"/>
      <c r="H170" s="41"/>
      <c r="I170" s="41"/>
      <c r="J170" s="41"/>
      <c r="K170" s="41"/>
    </row>
    <row r="171" spans="1:18" s="60" customFormat="1" ht="17.100000000000001" customHeight="1" x14ac:dyDescent="0.25">
      <c r="A171" s="68">
        <v>13</v>
      </c>
      <c r="B171" s="73" t="s">
        <v>165</v>
      </c>
      <c r="C171" s="56" t="s">
        <v>110</v>
      </c>
      <c r="D171" s="57"/>
      <c r="E171" s="58">
        <v>100</v>
      </c>
      <c r="F171" s="58">
        <v>135</v>
      </c>
      <c r="G171" s="59">
        <v>425</v>
      </c>
      <c r="H171" s="58">
        <f>F171+G171</f>
        <v>560</v>
      </c>
      <c r="I171" s="58">
        <f>ROUND(H171,0)</f>
        <v>560</v>
      </c>
      <c r="J171" s="58">
        <f>I171*3</f>
        <v>1680</v>
      </c>
      <c r="K171" s="58">
        <f>ROUND(J171,-1)</f>
        <v>1680</v>
      </c>
    </row>
    <row r="172" spans="1:18" ht="17.100000000000001" customHeight="1" x14ac:dyDescent="0.25">
      <c r="A172" s="69"/>
      <c r="B172" s="69"/>
      <c r="C172" s="3" t="s">
        <v>111</v>
      </c>
      <c r="D172" s="40"/>
      <c r="E172" s="41"/>
      <c r="F172" s="41"/>
      <c r="G172" s="42"/>
      <c r="H172" s="41"/>
      <c r="I172" s="41"/>
      <c r="J172" s="41"/>
      <c r="K172" s="41"/>
    </row>
    <row r="173" spans="1:18" ht="17.100000000000001" customHeight="1" x14ac:dyDescent="0.25">
      <c r="A173" s="14"/>
      <c r="B173" s="54"/>
      <c r="C173" s="3"/>
      <c r="D173" s="40"/>
      <c r="E173" s="41"/>
      <c r="F173" s="41"/>
      <c r="G173" s="42"/>
      <c r="H173" s="41"/>
      <c r="I173" s="41"/>
      <c r="J173" s="41"/>
      <c r="K173" s="41"/>
    </row>
    <row r="174" spans="1:18" ht="18" x14ac:dyDescent="0.25">
      <c r="A174" s="68">
        <v>14</v>
      </c>
      <c r="B174" s="73" t="s">
        <v>106</v>
      </c>
      <c r="C174" s="4" t="s">
        <v>103</v>
      </c>
      <c r="D174" s="41"/>
      <c r="E174" s="41"/>
      <c r="F174" s="41"/>
      <c r="G174" s="42"/>
      <c r="H174" s="41"/>
      <c r="I174" s="41"/>
      <c r="J174" s="41"/>
      <c r="K174" s="41"/>
      <c r="L174" s="2"/>
      <c r="M174" s="2"/>
      <c r="N174" s="2"/>
      <c r="O174" s="2"/>
      <c r="P174" s="2"/>
    </row>
    <row r="175" spans="1:18" s="60" customFormat="1" ht="18" x14ac:dyDescent="0.25">
      <c r="A175" s="70"/>
      <c r="B175" s="70"/>
      <c r="C175" s="62" t="s">
        <v>104</v>
      </c>
      <c r="D175" s="58" t="s">
        <v>33</v>
      </c>
      <c r="E175" s="58">
        <v>86</v>
      </c>
      <c r="F175" s="58">
        <f>Q175</f>
        <v>70</v>
      </c>
      <c r="G175" s="59">
        <f>E175*$P$175</f>
        <v>387</v>
      </c>
      <c r="H175" s="58">
        <f>F175+G175</f>
        <v>457</v>
      </c>
      <c r="I175" s="58">
        <f>ROUND(H175,0)</f>
        <v>457</v>
      </c>
      <c r="J175" s="58">
        <f>I175*2</f>
        <v>914</v>
      </c>
      <c r="K175" s="58">
        <f>ROUND(J175,-1)</f>
        <v>910</v>
      </c>
      <c r="L175" s="62"/>
      <c r="M175" s="62"/>
      <c r="N175" s="62"/>
      <c r="O175" s="62"/>
      <c r="P175" s="62">
        <v>4.5</v>
      </c>
      <c r="Q175" s="60">
        <v>70</v>
      </c>
    </row>
    <row r="176" spans="1:18" ht="18" x14ac:dyDescent="0.25">
      <c r="A176" s="70"/>
      <c r="B176" s="70"/>
      <c r="C176" s="2"/>
      <c r="D176" s="41" t="s">
        <v>121</v>
      </c>
      <c r="E176" s="41">
        <f>E175*50</f>
        <v>4300</v>
      </c>
      <c r="F176" s="41">
        <f>Q175*50</f>
        <v>3500</v>
      </c>
      <c r="G176" s="42">
        <f>E176*$P$175</f>
        <v>19350</v>
      </c>
      <c r="H176" s="41">
        <f>F176+G176</f>
        <v>22850</v>
      </c>
      <c r="I176" s="41">
        <f>ROUND(H176,0)</f>
        <v>22850</v>
      </c>
      <c r="J176" s="41">
        <f>I176*2</f>
        <v>45700</v>
      </c>
      <c r="K176" s="41">
        <f>ROUND(J176,-1)</f>
        <v>45700</v>
      </c>
      <c r="L176" s="2"/>
      <c r="M176" s="2"/>
      <c r="N176" s="2"/>
      <c r="O176" s="2"/>
      <c r="P176" s="2"/>
      <c r="Q176">
        <v>170</v>
      </c>
      <c r="R176" s="24" t="s">
        <v>115</v>
      </c>
    </row>
    <row r="177" spans="1:17" ht="18" x14ac:dyDescent="0.25">
      <c r="A177" s="70"/>
      <c r="B177" s="70"/>
      <c r="C177" s="2" t="s">
        <v>114</v>
      </c>
      <c r="D177" s="41" t="s">
        <v>113</v>
      </c>
      <c r="E177" s="41">
        <f>E175*60</f>
        <v>5160</v>
      </c>
      <c r="F177" s="41">
        <f>50*Q175+10*Q176</f>
        <v>5200</v>
      </c>
      <c r="G177" s="42">
        <f>E177*$P$175</f>
        <v>23220</v>
      </c>
      <c r="H177" s="41">
        <f>F177+G177</f>
        <v>28420</v>
      </c>
      <c r="I177" s="41">
        <f>ROUND(H177,0)</f>
        <v>28420</v>
      </c>
      <c r="J177" s="41">
        <f>I177*2</f>
        <v>56840</v>
      </c>
      <c r="K177" s="41">
        <f>ROUND(J177,-1)</f>
        <v>56840</v>
      </c>
      <c r="L177" s="2"/>
      <c r="M177" s="2"/>
      <c r="N177" s="2"/>
      <c r="O177" s="2"/>
      <c r="P177" s="2"/>
    </row>
    <row r="178" spans="1:17" ht="18" x14ac:dyDescent="0.25">
      <c r="A178" s="69"/>
      <c r="B178" s="69"/>
      <c r="C178" s="2" t="s">
        <v>105</v>
      </c>
      <c r="D178" s="41" t="s">
        <v>70</v>
      </c>
      <c r="E178" s="41">
        <f>100*100</f>
        <v>10000</v>
      </c>
      <c r="F178" s="41">
        <f>200*100</f>
        <v>20000</v>
      </c>
      <c r="G178" s="42">
        <f>E178*$P$175</f>
        <v>45000</v>
      </c>
      <c r="H178" s="41">
        <f>F178+G178</f>
        <v>65000</v>
      </c>
      <c r="I178" s="41">
        <f>ROUND(H178,0)</f>
        <v>65000</v>
      </c>
      <c r="J178" s="41">
        <f>I178*2</f>
        <v>130000</v>
      </c>
      <c r="K178" s="41">
        <f>ROUND(J178,-1)</f>
        <v>130000</v>
      </c>
      <c r="L178" s="2"/>
      <c r="M178" s="2"/>
      <c r="N178" s="2"/>
      <c r="O178" s="2"/>
      <c r="P178" s="2"/>
    </row>
    <row r="179" spans="1:17" ht="18" x14ac:dyDescent="0.25">
      <c r="A179" s="32"/>
      <c r="B179" s="32"/>
      <c r="C179" s="2"/>
      <c r="D179" s="40"/>
      <c r="E179" s="41"/>
      <c r="F179" s="41"/>
      <c r="G179" s="42"/>
      <c r="H179" s="41"/>
      <c r="I179" s="41"/>
      <c r="J179" s="41"/>
      <c r="K179" s="41"/>
    </row>
    <row r="180" spans="1:17" ht="17.100000000000001" customHeight="1" x14ac:dyDescent="0.25">
      <c r="A180" s="13"/>
      <c r="B180" s="14"/>
      <c r="C180" s="21" t="s">
        <v>14</v>
      </c>
      <c r="D180" s="40"/>
      <c r="E180" s="41"/>
      <c r="F180" s="41"/>
      <c r="G180" s="42"/>
      <c r="H180" s="41"/>
      <c r="I180" s="41"/>
      <c r="J180" s="41"/>
      <c r="K180" s="41"/>
    </row>
    <row r="181" spans="1:17" ht="17.100000000000001" customHeight="1" x14ac:dyDescent="0.25">
      <c r="A181" s="68">
        <v>22</v>
      </c>
      <c r="B181" s="68" t="s">
        <v>15</v>
      </c>
      <c r="C181" s="3" t="s">
        <v>16</v>
      </c>
      <c r="D181" s="40" t="s">
        <v>80</v>
      </c>
      <c r="E181" s="41">
        <v>100</v>
      </c>
      <c r="F181" s="41">
        <f>Q181</f>
        <v>340</v>
      </c>
      <c r="G181" s="42">
        <f>E181*$P$181</f>
        <v>625</v>
      </c>
      <c r="H181" s="41">
        <f>F181+G181</f>
        <v>965</v>
      </c>
      <c r="I181" s="41">
        <f>ROUND(H181,0)</f>
        <v>965</v>
      </c>
      <c r="J181" s="41">
        <f>I181*2</f>
        <v>1930</v>
      </c>
      <c r="K181" s="41">
        <f>ROUND(J181,-1)</f>
        <v>1930</v>
      </c>
      <c r="P181" s="7">
        <v>6.25</v>
      </c>
      <c r="Q181">
        <v>340</v>
      </c>
    </row>
    <row r="182" spans="1:17" ht="17.100000000000001" customHeight="1" x14ac:dyDescent="0.25">
      <c r="A182" s="69"/>
      <c r="B182" s="69"/>
      <c r="C182" s="3" t="s">
        <v>17</v>
      </c>
      <c r="D182" s="40"/>
      <c r="E182" s="41"/>
      <c r="F182" s="41"/>
      <c r="G182" s="42"/>
      <c r="H182" s="41"/>
      <c r="I182" s="41"/>
      <c r="J182" s="41"/>
      <c r="K182" s="41"/>
    </row>
    <row r="183" spans="1:17" ht="17.100000000000001" customHeight="1" x14ac:dyDescent="0.25">
      <c r="A183" s="13"/>
      <c r="B183" s="14"/>
      <c r="C183" s="3"/>
      <c r="D183" s="40"/>
      <c r="E183" s="41"/>
      <c r="F183" s="41"/>
      <c r="G183" s="42"/>
      <c r="H183" s="41"/>
      <c r="I183" s="41"/>
      <c r="J183" s="41"/>
      <c r="K183" s="41"/>
    </row>
    <row r="184" spans="1:17" ht="17.100000000000001" customHeight="1" x14ac:dyDescent="0.25">
      <c r="A184" s="68">
        <v>23</v>
      </c>
      <c r="B184" s="68" t="s">
        <v>158</v>
      </c>
      <c r="C184" s="3" t="s">
        <v>9</v>
      </c>
      <c r="D184" s="40" t="s">
        <v>70</v>
      </c>
      <c r="E184" s="41">
        <f>100*100</f>
        <v>10000</v>
      </c>
      <c r="F184" s="41">
        <f>Q184*100</f>
        <v>34000</v>
      </c>
      <c r="G184" s="42">
        <f>E184*$P$184</f>
        <v>69000</v>
      </c>
      <c r="H184" s="41">
        <f t="shared" ref="H184:H196" si="50">F184+G184</f>
        <v>103000</v>
      </c>
      <c r="I184" s="41">
        <f t="shared" ref="I184:I196" si="51">ROUND(H184,0)</f>
        <v>103000</v>
      </c>
      <c r="J184" s="41">
        <f t="shared" ref="J184:J196" si="52">I184*2</f>
        <v>206000</v>
      </c>
      <c r="K184" s="41">
        <f t="shared" ref="K184:K196" si="53">ROUND(J184,-1)</f>
        <v>206000</v>
      </c>
      <c r="P184" s="7">
        <v>6.9</v>
      </c>
      <c r="Q184">
        <v>340</v>
      </c>
    </row>
    <row r="185" spans="1:17" ht="17.100000000000001" customHeight="1" x14ac:dyDescent="0.25">
      <c r="A185" s="70"/>
      <c r="B185" s="70"/>
      <c r="C185" s="3"/>
      <c r="D185" s="40" t="s">
        <v>71</v>
      </c>
      <c r="E185" s="41">
        <f>100*200</f>
        <v>20000</v>
      </c>
      <c r="F185" s="41">
        <f>Q184*200</f>
        <v>68000</v>
      </c>
      <c r="G185" s="42">
        <f>E185*$P$184</f>
        <v>138000</v>
      </c>
      <c r="H185" s="41">
        <f t="shared" si="50"/>
        <v>206000</v>
      </c>
      <c r="I185" s="41">
        <f t="shared" si="51"/>
        <v>206000</v>
      </c>
      <c r="J185" s="41">
        <f t="shared" si="52"/>
        <v>412000</v>
      </c>
      <c r="K185" s="41">
        <f t="shared" si="53"/>
        <v>412000</v>
      </c>
      <c r="P185" s="7">
        <v>6.9</v>
      </c>
    </row>
    <row r="186" spans="1:17" ht="17.100000000000001" customHeight="1" x14ac:dyDescent="0.25">
      <c r="A186" s="70"/>
      <c r="B186" s="70"/>
      <c r="C186" s="3"/>
      <c r="D186" s="40" t="s">
        <v>72</v>
      </c>
      <c r="E186" s="41">
        <f>100*300</f>
        <v>30000</v>
      </c>
      <c r="F186" s="41">
        <f>Q184*300</f>
        <v>102000</v>
      </c>
      <c r="G186" s="42">
        <f>E186*$P$184</f>
        <v>207000</v>
      </c>
      <c r="H186" s="41">
        <f t="shared" si="50"/>
        <v>309000</v>
      </c>
      <c r="I186" s="41">
        <f t="shared" si="51"/>
        <v>309000</v>
      </c>
      <c r="J186" s="41">
        <f t="shared" si="52"/>
        <v>618000</v>
      </c>
      <c r="K186" s="41">
        <f t="shared" si="53"/>
        <v>618000</v>
      </c>
    </row>
    <row r="187" spans="1:17" ht="17.100000000000001" customHeight="1" x14ac:dyDescent="0.25">
      <c r="A187" s="70"/>
      <c r="B187" s="70"/>
      <c r="C187" s="3"/>
      <c r="D187" s="40" t="s">
        <v>73</v>
      </c>
      <c r="E187" s="41">
        <f>100*500</f>
        <v>50000</v>
      </c>
      <c r="F187" s="41">
        <f>500*Q184</f>
        <v>170000</v>
      </c>
      <c r="G187" s="42">
        <f>E187*$P$184</f>
        <v>345000</v>
      </c>
      <c r="H187" s="41">
        <f t="shared" si="50"/>
        <v>515000</v>
      </c>
      <c r="I187" s="41">
        <f t="shared" si="51"/>
        <v>515000</v>
      </c>
      <c r="J187" s="41">
        <f t="shared" si="52"/>
        <v>1030000</v>
      </c>
      <c r="K187" s="41">
        <f t="shared" si="53"/>
        <v>1030000</v>
      </c>
    </row>
    <row r="188" spans="1:17" ht="17.100000000000001" customHeight="1" x14ac:dyDescent="0.25">
      <c r="A188" s="70"/>
      <c r="B188" s="70"/>
      <c r="C188" s="3"/>
      <c r="D188" s="40" t="s">
        <v>74</v>
      </c>
      <c r="E188" s="41">
        <f>100*750</f>
        <v>75000</v>
      </c>
      <c r="F188" s="41">
        <f>750*Q184</f>
        <v>255000</v>
      </c>
      <c r="G188" s="42">
        <f>E188*$P$184</f>
        <v>517500</v>
      </c>
      <c r="H188" s="41">
        <f t="shared" si="50"/>
        <v>772500</v>
      </c>
      <c r="I188" s="41">
        <f t="shared" si="51"/>
        <v>772500</v>
      </c>
      <c r="J188" s="41">
        <f t="shared" si="52"/>
        <v>1545000</v>
      </c>
      <c r="K188" s="41">
        <f t="shared" si="53"/>
        <v>1545000</v>
      </c>
    </row>
    <row r="189" spans="1:17" ht="17.100000000000001" customHeight="1" x14ac:dyDescent="0.25">
      <c r="A189" s="70"/>
      <c r="B189" s="70"/>
      <c r="C189" s="3"/>
      <c r="D189" s="40" t="s">
        <v>75</v>
      </c>
      <c r="E189" s="41">
        <f>100*1000</f>
        <v>100000</v>
      </c>
      <c r="F189" s="41">
        <f>1000*Q184</f>
        <v>340000</v>
      </c>
      <c r="G189" s="42">
        <f>E189*$P$184</f>
        <v>690000</v>
      </c>
      <c r="H189" s="41">
        <f t="shared" si="50"/>
        <v>1030000</v>
      </c>
      <c r="I189" s="41">
        <f t="shared" si="51"/>
        <v>1030000</v>
      </c>
      <c r="J189" s="41">
        <f t="shared" si="52"/>
        <v>2060000</v>
      </c>
      <c r="K189" s="41">
        <f t="shared" si="53"/>
        <v>2060000</v>
      </c>
    </row>
    <row r="190" spans="1:17" ht="17.100000000000001" customHeight="1" x14ac:dyDescent="0.25">
      <c r="A190" s="70"/>
      <c r="B190" s="70"/>
      <c r="C190" s="3"/>
      <c r="D190" s="40" t="s">
        <v>76</v>
      </c>
      <c r="E190" s="41">
        <f>100*1500</f>
        <v>150000</v>
      </c>
      <c r="F190" s="41">
        <f>1500*Q184</f>
        <v>510000</v>
      </c>
      <c r="G190" s="42">
        <f>150000*$P$184</f>
        <v>1035000</v>
      </c>
      <c r="H190" s="41">
        <f t="shared" si="50"/>
        <v>1545000</v>
      </c>
      <c r="I190" s="41">
        <f t="shared" si="51"/>
        <v>1545000</v>
      </c>
      <c r="J190" s="41">
        <f t="shared" si="52"/>
        <v>3090000</v>
      </c>
      <c r="K190" s="41">
        <f t="shared" si="53"/>
        <v>3090000</v>
      </c>
    </row>
    <row r="191" spans="1:17" ht="17.100000000000001" customHeight="1" x14ac:dyDescent="0.25">
      <c r="A191" s="70"/>
      <c r="B191" s="70"/>
      <c r="C191" s="3"/>
      <c r="D191" s="40" t="s">
        <v>77</v>
      </c>
      <c r="E191" s="41">
        <f>100*2000</f>
        <v>200000</v>
      </c>
      <c r="F191" s="41">
        <f>2000*Q184</f>
        <v>680000</v>
      </c>
      <c r="G191" s="42">
        <f>200000*$P$184</f>
        <v>1380000</v>
      </c>
      <c r="H191" s="41">
        <f t="shared" si="50"/>
        <v>2060000</v>
      </c>
      <c r="I191" s="41">
        <f t="shared" si="51"/>
        <v>2060000</v>
      </c>
      <c r="J191" s="41">
        <f t="shared" si="52"/>
        <v>4120000</v>
      </c>
      <c r="K191" s="41">
        <f t="shared" si="53"/>
        <v>4120000</v>
      </c>
    </row>
    <row r="192" spans="1:17" ht="17.100000000000001" customHeight="1" x14ac:dyDescent="0.25">
      <c r="A192" s="70"/>
      <c r="B192" s="70"/>
      <c r="C192" s="3"/>
      <c r="D192" s="40" t="s">
        <v>78</v>
      </c>
      <c r="E192" s="41">
        <f>100*3000</f>
        <v>300000</v>
      </c>
      <c r="F192" s="41">
        <f>3000*Q184</f>
        <v>1020000</v>
      </c>
      <c r="G192" s="42">
        <f>300000*$P$184</f>
        <v>2070000</v>
      </c>
      <c r="H192" s="41">
        <f t="shared" si="50"/>
        <v>3090000</v>
      </c>
      <c r="I192" s="41">
        <f t="shared" si="51"/>
        <v>3090000</v>
      </c>
      <c r="J192" s="41">
        <f t="shared" si="52"/>
        <v>6180000</v>
      </c>
      <c r="K192" s="41">
        <f t="shared" si="53"/>
        <v>6180000</v>
      </c>
    </row>
    <row r="193" spans="1:19" ht="17.100000000000001" customHeight="1" x14ac:dyDescent="0.25">
      <c r="A193" s="70"/>
      <c r="B193" s="70"/>
      <c r="C193" s="3"/>
      <c r="D193" s="40" t="s">
        <v>79</v>
      </c>
      <c r="E193" s="41">
        <f>100*5000</f>
        <v>500000</v>
      </c>
      <c r="F193" s="41">
        <f>5000*Q184</f>
        <v>1700000</v>
      </c>
      <c r="G193" s="42">
        <f>500000*$P$184</f>
        <v>3450000</v>
      </c>
      <c r="H193" s="41">
        <f t="shared" si="50"/>
        <v>5150000</v>
      </c>
      <c r="I193" s="41">
        <f t="shared" si="51"/>
        <v>5150000</v>
      </c>
      <c r="J193" s="41">
        <f t="shared" si="52"/>
        <v>10300000</v>
      </c>
      <c r="K193" s="41">
        <f t="shared" si="53"/>
        <v>10300000</v>
      </c>
    </row>
    <row r="194" spans="1:19" ht="17.100000000000001" customHeight="1" x14ac:dyDescent="0.25">
      <c r="A194" s="70"/>
      <c r="B194" s="70"/>
      <c r="C194" s="3" t="s">
        <v>107</v>
      </c>
      <c r="D194" s="40" t="s">
        <v>80</v>
      </c>
      <c r="E194" s="41">
        <v>100</v>
      </c>
      <c r="F194" s="41">
        <f>Q184</f>
        <v>340</v>
      </c>
      <c r="G194" s="42">
        <f>$P$194*100</f>
        <v>650</v>
      </c>
      <c r="H194" s="41">
        <f t="shared" si="50"/>
        <v>990</v>
      </c>
      <c r="I194" s="41">
        <f t="shared" si="51"/>
        <v>990</v>
      </c>
      <c r="J194" s="42">
        <f t="shared" si="52"/>
        <v>1980</v>
      </c>
      <c r="K194" s="42">
        <f>ROUND(J194,-1)</f>
        <v>1980</v>
      </c>
      <c r="P194" s="7">
        <v>6.5</v>
      </c>
      <c r="R194" s="26"/>
      <c r="S194" s="23"/>
    </row>
    <row r="195" spans="1:19" ht="17.100000000000001" customHeight="1" x14ac:dyDescent="0.25">
      <c r="A195" s="70"/>
      <c r="B195" s="70"/>
      <c r="C195" s="3" t="s">
        <v>108</v>
      </c>
      <c r="D195" s="40" t="s">
        <v>80</v>
      </c>
      <c r="E195" s="41">
        <v>100</v>
      </c>
      <c r="F195" s="41">
        <f>Q184</f>
        <v>340</v>
      </c>
      <c r="G195" s="42">
        <f>$P$195*100</f>
        <v>650</v>
      </c>
      <c r="H195" s="41">
        <f>F195+G195</f>
        <v>990</v>
      </c>
      <c r="I195" s="41">
        <f>ROUND(H195,0)</f>
        <v>990</v>
      </c>
      <c r="J195" s="42">
        <f>I195*2</f>
        <v>1980</v>
      </c>
      <c r="K195" s="42">
        <f>ROUND(J195,-1)</f>
        <v>1980</v>
      </c>
      <c r="P195" s="7">
        <v>6.5</v>
      </c>
      <c r="R195" s="26"/>
      <c r="S195" s="23"/>
    </row>
    <row r="196" spans="1:19" ht="17.100000000000001" customHeight="1" x14ac:dyDescent="0.25">
      <c r="A196" s="69"/>
      <c r="B196" s="69"/>
      <c r="C196" s="4" t="s">
        <v>94</v>
      </c>
      <c r="D196" s="47" t="s">
        <v>80</v>
      </c>
      <c r="E196" s="48">
        <v>100</v>
      </c>
      <c r="F196" s="48">
        <v>300</v>
      </c>
      <c r="G196" s="49">
        <f>$P$196*E196</f>
        <v>525</v>
      </c>
      <c r="H196" s="48">
        <f t="shared" si="50"/>
        <v>825</v>
      </c>
      <c r="I196" s="48">
        <f t="shared" si="51"/>
        <v>825</v>
      </c>
      <c r="J196" s="48">
        <f t="shared" si="52"/>
        <v>1650</v>
      </c>
      <c r="K196" s="48">
        <f t="shared" si="53"/>
        <v>1650</v>
      </c>
      <c r="P196">
        <v>5.25</v>
      </c>
      <c r="R196" s="26"/>
    </row>
    <row r="197" spans="1:19" ht="17.100000000000001" customHeight="1" x14ac:dyDescent="0.25">
      <c r="A197" s="13"/>
      <c r="B197" s="14"/>
      <c r="C197" s="3"/>
      <c r="D197" s="40"/>
      <c r="E197" s="41"/>
      <c r="F197" s="41"/>
      <c r="G197" s="42"/>
      <c r="H197" s="41"/>
      <c r="I197" s="41"/>
      <c r="J197" s="41"/>
      <c r="K197" s="41"/>
    </row>
    <row r="198" spans="1:19" ht="17.100000000000001" customHeight="1" x14ac:dyDescent="0.25">
      <c r="A198" s="68">
        <v>24</v>
      </c>
      <c r="B198" s="68" t="s">
        <v>159</v>
      </c>
      <c r="C198" s="3" t="s">
        <v>3</v>
      </c>
      <c r="D198" s="40" t="s">
        <v>70</v>
      </c>
      <c r="E198" s="41">
        <f>100*100</f>
        <v>10000</v>
      </c>
      <c r="F198" s="41">
        <f>Q198*100</f>
        <v>36500</v>
      </c>
      <c r="G198" s="42">
        <f>E198*$P$198</f>
        <v>80000</v>
      </c>
      <c r="H198" s="41">
        <f t="shared" ref="H198:H207" si="54">F198+G198</f>
        <v>116500</v>
      </c>
      <c r="I198" s="41">
        <f t="shared" ref="I198:I207" si="55">ROUND(H198,0)</f>
        <v>116500</v>
      </c>
      <c r="J198" s="41">
        <f t="shared" ref="J198:J207" si="56">I198*2</f>
        <v>233000</v>
      </c>
      <c r="K198" s="41">
        <f t="shared" ref="K198:K207" si="57">ROUND(J198,-1)</f>
        <v>233000</v>
      </c>
      <c r="P198" s="7">
        <v>8</v>
      </c>
      <c r="Q198">
        <v>365</v>
      </c>
    </row>
    <row r="199" spans="1:19" ht="17.100000000000001" customHeight="1" x14ac:dyDescent="0.25">
      <c r="A199" s="70"/>
      <c r="B199" s="70"/>
      <c r="C199" s="3" t="s">
        <v>4</v>
      </c>
      <c r="D199" s="40" t="s">
        <v>71</v>
      </c>
      <c r="E199" s="41">
        <f>100*200</f>
        <v>20000</v>
      </c>
      <c r="F199" s="41">
        <f>Q198*200</f>
        <v>73000</v>
      </c>
      <c r="G199" s="42">
        <f>E199*$P$198</f>
        <v>160000</v>
      </c>
      <c r="H199" s="41">
        <f t="shared" si="54"/>
        <v>233000</v>
      </c>
      <c r="I199" s="41">
        <f t="shared" si="55"/>
        <v>233000</v>
      </c>
      <c r="J199" s="41">
        <f t="shared" si="56"/>
        <v>466000</v>
      </c>
      <c r="K199" s="41">
        <f t="shared" si="57"/>
        <v>466000</v>
      </c>
      <c r="P199" s="7">
        <v>8</v>
      </c>
    </row>
    <row r="200" spans="1:19" ht="17.100000000000001" customHeight="1" x14ac:dyDescent="0.25">
      <c r="A200" s="70"/>
      <c r="B200" s="70"/>
      <c r="C200" s="3" t="s">
        <v>5</v>
      </c>
      <c r="D200" s="40" t="s">
        <v>72</v>
      </c>
      <c r="E200" s="41">
        <f>100*300</f>
        <v>30000</v>
      </c>
      <c r="F200" s="41">
        <f>Q198*300</f>
        <v>109500</v>
      </c>
      <c r="G200" s="42">
        <f>E200*$P$198</f>
        <v>240000</v>
      </c>
      <c r="H200" s="41">
        <f t="shared" si="54"/>
        <v>349500</v>
      </c>
      <c r="I200" s="41">
        <f t="shared" si="55"/>
        <v>349500</v>
      </c>
      <c r="J200" s="41">
        <f t="shared" si="56"/>
        <v>699000</v>
      </c>
      <c r="K200" s="41">
        <f t="shared" si="57"/>
        <v>699000</v>
      </c>
    </row>
    <row r="201" spans="1:19" ht="17.100000000000001" customHeight="1" x14ac:dyDescent="0.25">
      <c r="A201" s="70"/>
      <c r="B201" s="70"/>
      <c r="C201" s="3"/>
      <c r="D201" s="40" t="s">
        <v>73</v>
      </c>
      <c r="E201" s="41">
        <f>100*500</f>
        <v>50000</v>
      </c>
      <c r="F201" s="41">
        <f>Q198*500</f>
        <v>182500</v>
      </c>
      <c r="G201" s="42">
        <f>E201*$P$198</f>
        <v>400000</v>
      </c>
      <c r="H201" s="41">
        <f t="shared" si="54"/>
        <v>582500</v>
      </c>
      <c r="I201" s="41">
        <f t="shared" si="55"/>
        <v>582500</v>
      </c>
      <c r="J201" s="41">
        <f t="shared" si="56"/>
        <v>1165000</v>
      </c>
      <c r="K201" s="41">
        <f t="shared" si="57"/>
        <v>1165000</v>
      </c>
    </row>
    <row r="202" spans="1:19" ht="17.100000000000001" customHeight="1" x14ac:dyDescent="0.25">
      <c r="A202" s="70"/>
      <c r="B202" s="70"/>
      <c r="C202" s="3"/>
      <c r="D202" s="40" t="s">
        <v>74</v>
      </c>
      <c r="E202" s="41">
        <f>100*750</f>
        <v>75000</v>
      </c>
      <c r="F202" s="41">
        <f>Q198*750</f>
        <v>273750</v>
      </c>
      <c r="G202" s="42">
        <f>E202*$P$198</f>
        <v>600000</v>
      </c>
      <c r="H202" s="41">
        <f t="shared" si="54"/>
        <v>873750</v>
      </c>
      <c r="I202" s="41">
        <f t="shared" si="55"/>
        <v>873750</v>
      </c>
      <c r="J202" s="41">
        <f t="shared" si="56"/>
        <v>1747500</v>
      </c>
      <c r="K202" s="41">
        <f t="shared" si="57"/>
        <v>1747500</v>
      </c>
    </row>
    <row r="203" spans="1:19" ht="17.100000000000001" customHeight="1" x14ac:dyDescent="0.25">
      <c r="A203" s="70"/>
      <c r="B203" s="70"/>
      <c r="C203" s="3"/>
      <c r="D203" s="40" t="s">
        <v>75</v>
      </c>
      <c r="E203" s="41">
        <f>100*1000</f>
        <v>100000</v>
      </c>
      <c r="F203" s="41">
        <f>Q198*1000</f>
        <v>365000</v>
      </c>
      <c r="G203" s="42">
        <f>E203*$P$198</f>
        <v>800000</v>
      </c>
      <c r="H203" s="41">
        <f t="shared" si="54"/>
        <v>1165000</v>
      </c>
      <c r="I203" s="41">
        <f t="shared" si="55"/>
        <v>1165000</v>
      </c>
      <c r="J203" s="41">
        <f t="shared" si="56"/>
        <v>2330000</v>
      </c>
      <c r="K203" s="41">
        <f t="shared" si="57"/>
        <v>2330000</v>
      </c>
    </row>
    <row r="204" spans="1:19" ht="17.100000000000001" customHeight="1" x14ac:dyDescent="0.25">
      <c r="A204" s="70"/>
      <c r="B204" s="70"/>
      <c r="C204" s="3"/>
      <c r="D204" s="40" t="s">
        <v>76</v>
      </c>
      <c r="E204" s="41">
        <f>100*1500</f>
        <v>150000</v>
      </c>
      <c r="F204" s="41">
        <f>Q198*1500</f>
        <v>547500</v>
      </c>
      <c r="G204" s="42">
        <f>E204*$P$198</f>
        <v>1200000</v>
      </c>
      <c r="H204" s="41">
        <f t="shared" si="54"/>
        <v>1747500</v>
      </c>
      <c r="I204" s="41">
        <f t="shared" si="55"/>
        <v>1747500</v>
      </c>
      <c r="J204" s="41">
        <f t="shared" si="56"/>
        <v>3495000</v>
      </c>
      <c r="K204" s="41">
        <f t="shared" si="57"/>
        <v>3495000</v>
      </c>
    </row>
    <row r="205" spans="1:19" ht="17.100000000000001" customHeight="1" x14ac:dyDescent="0.25">
      <c r="A205" s="70"/>
      <c r="B205" s="70"/>
      <c r="C205" s="3"/>
      <c r="D205" s="40" t="s">
        <v>77</v>
      </c>
      <c r="E205" s="41">
        <f>100*2000</f>
        <v>200000</v>
      </c>
      <c r="F205" s="41">
        <f>Q198*2000</f>
        <v>730000</v>
      </c>
      <c r="G205" s="42">
        <f>E205*$P$198</f>
        <v>1600000</v>
      </c>
      <c r="H205" s="41">
        <f t="shared" si="54"/>
        <v>2330000</v>
      </c>
      <c r="I205" s="41">
        <f t="shared" si="55"/>
        <v>2330000</v>
      </c>
      <c r="J205" s="41">
        <f t="shared" si="56"/>
        <v>4660000</v>
      </c>
      <c r="K205" s="41">
        <f t="shared" si="57"/>
        <v>4660000</v>
      </c>
    </row>
    <row r="206" spans="1:19" ht="17.100000000000001" customHeight="1" x14ac:dyDescent="0.25">
      <c r="A206" s="70"/>
      <c r="B206" s="70"/>
      <c r="C206" s="3"/>
      <c r="D206" s="40" t="s">
        <v>78</v>
      </c>
      <c r="E206" s="41">
        <f>100*3000</f>
        <v>300000</v>
      </c>
      <c r="F206" s="41">
        <f>Q198*3000</f>
        <v>1095000</v>
      </c>
      <c r="G206" s="42">
        <f>E206*$P$198</f>
        <v>2400000</v>
      </c>
      <c r="H206" s="41">
        <f t="shared" si="54"/>
        <v>3495000</v>
      </c>
      <c r="I206" s="41">
        <f t="shared" si="55"/>
        <v>3495000</v>
      </c>
      <c r="J206" s="41">
        <f t="shared" si="56"/>
        <v>6990000</v>
      </c>
      <c r="K206" s="41">
        <f t="shared" si="57"/>
        <v>6990000</v>
      </c>
    </row>
    <row r="207" spans="1:19" ht="17.100000000000001" customHeight="1" x14ac:dyDescent="0.25">
      <c r="A207" s="69"/>
      <c r="B207" s="69"/>
      <c r="C207" s="3"/>
      <c r="D207" s="40" t="s">
        <v>79</v>
      </c>
      <c r="E207" s="41">
        <f>100*5000</f>
        <v>500000</v>
      </c>
      <c r="F207" s="41">
        <f>Q198*5000</f>
        <v>1825000</v>
      </c>
      <c r="G207" s="42">
        <f>E207*$P$198</f>
        <v>4000000</v>
      </c>
      <c r="H207" s="41">
        <f t="shared" si="54"/>
        <v>5825000</v>
      </c>
      <c r="I207" s="41">
        <f t="shared" si="55"/>
        <v>5825000</v>
      </c>
      <c r="J207" s="41">
        <f t="shared" si="56"/>
        <v>11650000</v>
      </c>
      <c r="K207" s="41">
        <f t="shared" si="57"/>
        <v>11650000</v>
      </c>
    </row>
    <row r="208" spans="1:19" ht="17.100000000000001" customHeight="1" x14ac:dyDescent="0.25">
      <c r="A208" s="13"/>
      <c r="B208" s="13"/>
      <c r="C208" s="3"/>
      <c r="D208" s="40"/>
      <c r="E208" s="41"/>
      <c r="F208" s="41"/>
      <c r="G208" s="42"/>
      <c r="H208" s="41"/>
      <c r="I208" s="41"/>
      <c r="J208" s="41"/>
      <c r="K208" s="41"/>
    </row>
    <row r="209" spans="1:17" ht="17.100000000000001" customHeight="1" x14ac:dyDescent="0.25">
      <c r="A209" s="68">
        <v>25</v>
      </c>
      <c r="B209" s="68" t="s">
        <v>98</v>
      </c>
      <c r="C209" s="3" t="s">
        <v>11</v>
      </c>
      <c r="D209" s="40" t="s">
        <v>70</v>
      </c>
      <c r="E209" s="41">
        <f>100*100</f>
        <v>10000</v>
      </c>
      <c r="F209" s="41">
        <f>Q209*100</f>
        <v>29000</v>
      </c>
      <c r="G209" s="42">
        <f>E209*$P$209</f>
        <v>71000</v>
      </c>
      <c r="H209" s="41">
        <f t="shared" ref="H209:H229" si="58">F209+G209</f>
        <v>100000</v>
      </c>
      <c r="I209" s="41">
        <f t="shared" ref="I209:I229" si="59">ROUND(H209,0)</f>
        <v>100000</v>
      </c>
      <c r="J209" s="41">
        <f t="shared" ref="J209:J229" si="60">I209*2</f>
        <v>200000</v>
      </c>
      <c r="K209" s="41">
        <f t="shared" ref="K209:K229" si="61">ROUND(J209,-1)</f>
        <v>200000</v>
      </c>
      <c r="P209" s="7">
        <v>7.1</v>
      </c>
      <c r="Q209">
        <v>290</v>
      </c>
    </row>
    <row r="210" spans="1:17" ht="17.100000000000001" customHeight="1" x14ac:dyDescent="0.25">
      <c r="A210" s="70"/>
      <c r="B210" s="70"/>
      <c r="C210" s="3" t="s">
        <v>18</v>
      </c>
      <c r="D210" s="40" t="s">
        <v>71</v>
      </c>
      <c r="E210" s="41">
        <f>100*200</f>
        <v>20000</v>
      </c>
      <c r="F210" s="41">
        <f>Q209*200</f>
        <v>58000</v>
      </c>
      <c r="G210" s="42">
        <f>E210*$P$209</f>
        <v>142000</v>
      </c>
      <c r="H210" s="41">
        <f t="shared" si="58"/>
        <v>200000</v>
      </c>
      <c r="I210" s="41">
        <f t="shared" si="59"/>
        <v>200000</v>
      </c>
      <c r="J210" s="41">
        <f t="shared" si="60"/>
        <v>400000</v>
      </c>
      <c r="K210" s="41">
        <f t="shared" si="61"/>
        <v>400000</v>
      </c>
      <c r="P210" s="7">
        <v>7.1</v>
      </c>
    </row>
    <row r="211" spans="1:17" ht="17.100000000000001" customHeight="1" x14ac:dyDescent="0.25">
      <c r="A211" s="70"/>
      <c r="B211" s="70"/>
      <c r="C211" s="3"/>
      <c r="D211" s="40" t="s">
        <v>72</v>
      </c>
      <c r="E211" s="41">
        <f>100*300</f>
        <v>30000</v>
      </c>
      <c r="F211" s="41">
        <f>Q209*300</f>
        <v>87000</v>
      </c>
      <c r="G211" s="42">
        <f>E211*$P$209</f>
        <v>213000</v>
      </c>
      <c r="H211" s="41">
        <f t="shared" si="58"/>
        <v>300000</v>
      </c>
      <c r="I211" s="41">
        <f t="shared" si="59"/>
        <v>300000</v>
      </c>
      <c r="J211" s="41">
        <f t="shared" si="60"/>
        <v>600000</v>
      </c>
      <c r="K211" s="41">
        <f t="shared" si="61"/>
        <v>600000</v>
      </c>
    </row>
    <row r="212" spans="1:17" ht="17.100000000000001" customHeight="1" x14ac:dyDescent="0.25">
      <c r="A212" s="70"/>
      <c r="B212" s="70"/>
      <c r="C212" s="3"/>
      <c r="D212" s="40" t="s">
        <v>73</v>
      </c>
      <c r="E212" s="41">
        <f>100*500</f>
        <v>50000</v>
      </c>
      <c r="F212" s="41">
        <f>Q209*500</f>
        <v>145000</v>
      </c>
      <c r="G212" s="42">
        <f>E212*$P$209</f>
        <v>355000</v>
      </c>
      <c r="H212" s="41">
        <f t="shared" si="58"/>
        <v>500000</v>
      </c>
      <c r="I212" s="41">
        <f t="shared" si="59"/>
        <v>500000</v>
      </c>
      <c r="J212" s="41">
        <f t="shared" si="60"/>
        <v>1000000</v>
      </c>
      <c r="K212" s="41">
        <f t="shared" si="61"/>
        <v>1000000</v>
      </c>
    </row>
    <row r="213" spans="1:17" ht="17.100000000000001" customHeight="1" x14ac:dyDescent="0.25">
      <c r="A213" s="70"/>
      <c r="B213" s="70"/>
      <c r="C213" s="3"/>
      <c r="D213" s="40" t="s">
        <v>74</v>
      </c>
      <c r="E213" s="41">
        <f>100*750</f>
        <v>75000</v>
      </c>
      <c r="F213" s="41">
        <f>Q209*750</f>
        <v>217500</v>
      </c>
      <c r="G213" s="42">
        <f>E213*$P$209</f>
        <v>532500</v>
      </c>
      <c r="H213" s="41">
        <f t="shared" si="58"/>
        <v>750000</v>
      </c>
      <c r="I213" s="41">
        <f t="shared" si="59"/>
        <v>750000</v>
      </c>
      <c r="J213" s="41">
        <f t="shared" si="60"/>
        <v>1500000</v>
      </c>
      <c r="K213" s="41">
        <f t="shared" si="61"/>
        <v>1500000</v>
      </c>
    </row>
    <row r="214" spans="1:17" ht="17.100000000000001" customHeight="1" x14ac:dyDescent="0.25">
      <c r="A214" s="70"/>
      <c r="B214" s="70"/>
      <c r="C214" s="3"/>
      <c r="D214" s="40" t="s">
        <v>75</v>
      </c>
      <c r="E214" s="41">
        <f>100*1000</f>
        <v>100000</v>
      </c>
      <c r="F214" s="41">
        <f>Q209*1000</f>
        <v>290000</v>
      </c>
      <c r="G214" s="42">
        <f>E214*$P$209</f>
        <v>710000</v>
      </c>
      <c r="H214" s="50">
        <f t="shared" si="58"/>
        <v>1000000</v>
      </c>
      <c r="I214" s="50">
        <f t="shared" si="59"/>
        <v>1000000</v>
      </c>
      <c r="J214" s="50">
        <f t="shared" si="60"/>
        <v>2000000</v>
      </c>
      <c r="K214" s="41">
        <f t="shared" si="61"/>
        <v>2000000</v>
      </c>
    </row>
    <row r="215" spans="1:17" ht="17.100000000000001" customHeight="1" x14ac:dyDescent="0.25">
      <c r="A215" s="70"/>
      <c r="B215" s="70"/>
      <c r="C215" s="3"/>
      <c r="D215" s="40" t="s">
        <v>76</v>
      </c>
      <c r="E215" s="41">
        <f>100*1500</f>
        <v>150000</v>
      </c>
      <c r="F215" s="41">
        <f>Q209*1500</f>
        <v>435000</v>
      </c>
      <c r="G215" s="42">
        <f>E215*$P$209</f>
        <v>1065000</v>
      </c>
      <c r="H215" s="50">
        <f t="shared" si="58"/>
        <v>1500000</v>
      </c>
      <c r="I215" s="50">
        <f t="shared" si="59"/>
        <v>1500000</v>
      </c>
      <c r="J215" s="50">
        <f t="shared" si="60"/>
        <v>3000000</v>
      </c>
      <c r="K215" s="41">
        <f t="shared" si="61"/>
        <v>3000000</v>
      </c>
    </row>
    <row r="216" spans="1:17" ht="17.100000000000001" customHeight="1" x14ac:dyDescent="0.25">
      <c r="A216" s="70"/>
      <c r="B216" s="70"/>
      <c r="C216" s="3"/>
      <c r="D216" s="40" t="s">
        <v>77</v>
      </c>
      <c r="E216" s="41">
        <f>100*2000</f>
        <v>200000</v>
      </c>
      <c r="F216" s="41">
        <f>Q209*2000</f>
        <v>580000</v>
      </c>
      <c r="G216" s="42">
        <f>E216*$P$209</f>
        <v>1420000</v>
      </c>
      <c r="H216" s="50">
        <f t="shared" si="58"/>
        <v>2000000</v>
      </c>
      <c r="I216" s="50">
        <f t="shared" si="59"/>
        <v>2000000</v>
      </c>
      <c r="J216" s="50">
        <f t="shared" si="60"/>
        <v>4000000</v>
      </c>
      <c r="K216" s="41">
        <f t="shared" si="61"/>
        <v>4000000</v>
      </c>
    </row>
    <row r="217" spans="1:17" ht="17.100000000000001" customHeight="1" x14ac:dyDescent="0.25">
      <c r="A217" s="70"/>
      <c r="B217" s="70"/>
      <c r="C217" s="3"/>
      <c r="D217" s="40" t="s">
        <v>78</v>
      </c>
      <c r="E217" s="41">
        <f>100*3000</f>
        <v>300000</v>
      </c>
      <c r="F217" s="41">
        <f>Q209*3000</f>
        <v>870000</v>
      </c>
      <c r="G217" s="42">
        <f>E217*$P$209</f>
        <v>2130000</v>
      </c>
      <c r="H217" s="50">
        <f t="shared" si="58"/>
        <v>3000000</v>
      </c>
      <c r="I217" s="50">
        <f t="shared" si="59"/>
        <v>3000000</v>
      </c>
      <c r="J217" s="50">
        <f t="shared" si="60"/>
        <v>6000000</v>
      </c>
      <c r="K217" s="41">
        <f t="shared" si="61"/>
        <v>6000000</v>
      </c>
    </row>
    <row r="218" spans="1:17" ht="17.100000000000001" customHeight="1" x14ac:dyDescent="0.25">
      <c r="A218" s="69"/>
      <c r="B218" s="69"/>
      <c r="C218" s="3"/>
      <c r="D218" s="40" t="s">
        <v>79</v>
      </c>
      <c r="E218" s="41">
        <f>100*5000</f>
        <v>500000</v>
      </c>
      <c r="F218" s="41">
        <f>Q209*5000</f>
        <v>1450000</v>
      </c>
      <c r="G218" s="42">
        <f>E218*$P$209</f>
        <v>3550000</v>
      </c>
      <c r="H218" s="50">
        <f t="shared" si="58"/>
        <v>5000000</v>
      </c>
      <c r="I218" s="50">
        <f t="shared" si="59"/>
        <v>5000000</v>
      </c>
      <c r="J218" s="50">
        <f t="shared" si="60"/>
        <v>10000000</v>
      </c>
      <c r="K218" s="41">
        <f t="shared" si="61"/>
        <v>10000000</v>
      </c>
    </row>
    <row r="219" spans="1:17" ht="17.100000000000001" customHeight="1" x14ac:dyDescent="0.25">
      <c r="A219" s="31"/>
      <c r="B219" s="31"/>
      <c r="C219" s="3"/>
      <c r="D219" s="40"/>
      <c r="E219" s="41"/>
      <c r="F219" s="41"/>
      <c r="G219" s="42"/>
      <c r="H219" s="50"/>
      <c r="I219" s="50"/>
      <c r="J219" s="50"/>
      <c r="K219" s="41"/>
    </row>
    <row r="220" spans="1:17" ht="17.100000000000001" customHeight="1" x14ac:dyDescent="0.25">
      <c r="A220" s="68">
        <v>26</v>
      </c>
      <c r="B220" s="68" t="s">
        <v>99</v>
      </c>
      <c r="C220" s="3" t="s">
        <v>11</v>
      </c>
      <c r="D220" s="40" t="s">
        <v>70</v>
      </c>
      <c r="E220" s="41">
        <f>100*100</f>
        <v>10000</v>
      </c>
      <c r="F220" s="41">
        <f>Q220*100</f>
        <v>34000</v>
      </c>
      <c r="G220" s="42">
        <f>E220*$P$220</f>
        <v>81000</v>
      </c>
      <c r="H220" s="41">
        <f t="shared" si="58"/>
        <v>115000</v>
      </c>
      <c r="I220" s="41">
        <f t="shared" si="59"/>
        <v>115000</v>
      </c>
      <c r="J220" s="41">
        <f t="shared" si="60"/>
        <v>230000</v>
      </c>
      <c r="K220" s="41">
        <f t="shared" si="61"/>
        <v>230000</v>
      </c>
      <c r="P220" s="7">
        <v>8.1</v>
      </c>
      <c r="Q220">
        <v>340</v>
      </c>
    </row>
    <row r="221" spans="1:17" ht="17.100000000000001" customHeight="1" x14ac:dyDescent="0.25">
      <c r="A221" s="70"/>
      <c r="B221" s="70"/>
      <c r="C221" s="3" t="s">
        <v>18</v>
      </c>
      <c r="D221" s="40" t="s">
        <v>71</v>
      </c>
      <c r="E221" s="41">
        <f>100*200</f>
        <v>20000</v>
      </c>
      <c r="F221" s="41">
        <f>Q220*200</f>
        <v>68000</v>
      </c>
      <c r="G221" s="42">
        <f>E221*$P$220</f>
        <v>162000</v>
      </c>
      <c r="H221" s="41">
        <f t="shared" si="58"/>
        <v>230000</v>
      </c>
      <c r="I221" s="41">
        <f t="shared" si="59"/>
        <v>230000</v>
      </c>
      <c r="J221" s="41">
        <f t="shared" si="60"/>
        <v>460000</v>
      </c>
      <c r="K221" s="41">
        <f t="shared" si="61"/>
        <v>460000</v>
      </c>
      <c r="P221" s="7">
        <v>8.1</v>
      </c>
    </row>
    <row r="222" spans="1:17" ht="17.100000000000001" customHeight="1" x14ac:dyDescent="0.25">
      <c r="A222" s="70"/>
      <c r="B222" s="70"/>
      <c r="C222" s="3"/>
      <c r="D222" s="40" t="s">
        <v>72</v>
      </c>
      <c r="E222" s="41">
        <f>100*300</f>
        <v>30000</v>
      </c>
      <c r="F222" s="41">
        <f>Q220*300</f>
        <v>102000</v>
      </c>
      <c r="G222" s="42">
        <f>E222*$P$220</f>
        <v>243000</v>
      </c>
      <c r="H222" s="41">
        <f t="shared" si="58"/>
        <v>345000</v>
      </c>
      <c r="I222" s="41">
        <f t="shared" si="59"/>
        <v>345000</v>
      </c>
      <c r="J222" s="41">
        <f t="shared" si="60"/>
        <v>690000</v>
      </c>
      <c r="K222" s="41">
        <f t="shared" si="61"/>
        <v>690000</v>
      </c>
    </row>
    <row r="223" spans="1:17" ht="17.100000000000001" customHeight="1" x14ac:dyDescent="0.25">
      <c r="A223" s="70"/>
      <c r="B223" s="70"/>
      <c r="C223" s="3"/>
      <c r="D223" s="40" t="s">
        <v>73</v>
      </c>
      <c r="E223" s="41">
        <f>100*500</f>
        <v>50000</v>
      </c>
      <c r="F223" s="41">
        <f>Q220*500</f>
        <v>170000</v>
      </c>
      <c r="G223" s="42">
        <f>E223*$P$220</f>
        <v>405000</v>
      </c>
      <c r="H223" s="41">
        <f t="shared" si="58"/>
        <v>575000</v>
      </c>
      <c r="I223" s="41">
        <f t="shared" si="59"/>
        <v>575000</v>
      </c>
      <c r="J223" s="41">
        <f t="shared" si="60"/>
        <v>1150000</v>
      </c>
      <c r="K223" s="41">
        <f t="shared" si="61"/>
        <v>1150000</v>
      </c>
    </row>
    <row r="224" spans="1:17" ht="17.100000000000001" customHeight="1" x14ac:dyDescent="0.25">
      <c r="A224" s="70"/>
      <c r="B224" s="70"/>
      <c r="C224" s="3"/>
      <c r="D224" s="40" t="s">
        <v>74</v>
      </c>
      <c r="E224" s="41">
        <f>100*750</f>
        <v>75000</v>
      </c>
      <c r="F224" s="41">
        <f>Q220*750</f>
        <v>255000</v>
      </c>
      <c r="G224" s="42">
        <f>E224*$P$220</f>
        <v>607500</v>
      </c>
      <c r="H224" s="41">
        <f t="shared" si="58"/>
        <v>862500</v>
      </c>
      <c r="I224" s="41">
        <f t="shared" si="59"/>
        <v>862500</v>
      </c>
      <c r="J224" s="41">
        <f t="shared" si="60"/>
        <v>1725000</v>
      </c>
      <c r="K224" s="41">
        <f t="shared" si="61"/>
        <v>1725000</v>
      </c>
    </row>
    <row r="225" spans="1:16" ht="17.100000000000001" customHeight="1" x14ac:dyDescent="0.25">
      <c r="A225" s="70"/>
      <c r="B225" s="70"/>
      <c r="C225" s="3"/>
      <c r="D225" s="40" t="s">
        <v>75</v>
      </c>
      <c r="E225" s="41">
        <f>100*1000</f>
        <v>100000</v>
      </c>
      <c r="F225" s="41">
        <f>Q220*1000</f>
        <v>340000</v>
      </c>
      <c r="G225" s="42">
        <f>E225*$P$220</f>
        <v>810000</v>
      </c>
      <c r="H225" s="50">
        <f t="shared" si="58"/>
        <v>1150000</v>
      </c>
      <c r="I225" s="41">
        <f t="shared" si="59"/>
        <v>1150000</v>
      </c>
      <c r="J225" s="41">
        <f t="shared" si="60"/>
        <v>2300000</v>
      </c>
      <c r="K225" s="41">
        <f t="shared" si="61"/>
        <v>2300000</v>
      </c>
    </row>
    <row r="226" spans="1:16" ht="18" x14ac:dyDescent="0.25">
      <c r="A226" s="70"/>
      <c r="B226" s="70"/>
      <c r="C226" s="3"/>
      <c r="D226" s="40" t="s">
        <v>76</v>
      </c>
      <c r="E226" s="41">
        <f>100*1500</f>
        <v>150000</v>
      </c>
      <c r="F226" s="41">
        <f>Q220*1500</f>
        <v>510000</v>
      </c>
      <c r="G226" s="42">
        <f>E226*$P$220</f>
        <v>1215000</v>
      </c>
      <c r="H226" s="50">
        <f t="shared" si="58"/>
        <v>1725000</v>
      </c>
      <c r="I226" s="41">
        <f t="shared" si="59"/>
        <v>1725000</v>
      </c>
      <c r="J226" s="50">
        <f t="shared" si="60"/>
        <v>3450000</v>
      </c>
      <c r="K226" s="41">
        <f t="shared" si="61"/>
        <v>3450000</v>
      </c>
    </row>
    <row r="227" spans="1:16" ht="18" x14ac:dyDescent="0.25">
      <c r="A227" s="70"/>
      <c r="B227" s="70"/>
      <c r="C227" s="3"/>
      <c r="D227" s="40" t="s">
        <v>77</v>
      </c>
      <c r="E227" s="41">
        <f>100*2000</f>
        <v>200000</v>
      </c>
      <c r="F227" s="41">
        <f>Q220*2000</f>
        <v>680000</v>
      </c>
      <c r="G227" s="42">
        <f>E227*$P$220</f>
        <v>1620000</v>
      </c>
      <c r="H227" s="50">
        <f t="shared" si="58"/>
        <v>2300000</v>
      </c>
      <c r="I227" s="41">
        <f t="shared" si="59"/>
        <v>2300000</v>
      </c>
      <c r="J227" s="50">
        <f t="shared" si="60"/>
        <v>4600000</v>
      </c>
      <c r="K227" s="41">
        <f t="shared" si="61"/>
        <v>4600000</v>
      </c>
    </row>
    <row r="228" spans="1:16" ht="18" x14ac:dyDescent="0.25">
      <c r="A228" s="70"/>
      <c r="B228" s="70"/>
      <c r="C228" s="3"/>
      <c r="D228" s="40" t="s">
        <v>78</v>
      </c>
      <c r="E228" s="41">
        <f>100*3000</f>
        <v>300000</v>
      </c>
      <c r="F228" s="41">
        <f>Q220*3000</f>
        <v>1020000</v>
      </c>
      <c r="G228" s="42">
        <f>E228*$P$220</f>
        <v>2430000</v>
      </c>
      <c r="H228" s="50">
        <f t="shared" si="58"/>
        <v>3450000</v>
      </c>
      <c r="I228" s="41">
        <f t="shared" si="59"/>
        <v>3450000</v>
      </c>
      <c r="J228" s="50">
        <f t="shared" si="60"/>
        <v>6900000</v>
      </c>
      <c r="K228" s="41">
        <f t="shared" si="61"/>
        <v>6900000</v>
      </c>
    </row>
    <row r="229" spans="1:16" ht="18" x14ac:dyDescent="0.25">
      <c r="A229" s="69"/>
      <c r="B229" s="69"/>
      <c r="C229" s="3"/>
      <c r="D229" s="40" t="s">
        <v>79</v>
      </c>
      <c r="E229" s="41">
        <f>100*5000</f>
        <v>500000</v>
      </c>
      <c r="F229" s="41">
        <f>Q220*5000</f>
        <v>1700000</v>
      </c>
      <c r="G229" s="42">
        <f>E229*$P$220</f>
        <v>4050000</v>
      </c>
      <c r="H229" s="50">
        <f t="shared" si="58"/>
        <v>5750000</v>
      </c>
      <c r="I229" s="41">
        <f t="shared" si="59"/>
        <v>5750000</v>
      </c>
      <c r="J229" s="50">
        <f t="shared" si="60"/>
        <v>11500000</v>
      </c>
      <c r="K229" s="41">
        <f t="shared" si="61"/>
        <v>11500000</v>
      </c>
    </row>
    <row r="230" spans="1:16" ht="18" x14ac:dyDescent="0.25">
      <c r="A230" s="13"/>
      <c r="B230" s="13"/>
      <c r="C230" s="3"/>
      <c r="D230" s="40"/>
      <c r="E230" s="41"/>
      <c r="F230" s="41"/>
      <c r="G230" s="42"/>
      <c r="H230" s="41"/>
      <c r="I230" s="41"/>
      <c r="J230" s="41"/>
      <c r="K230" s="41"/>
    </row>
    <row r="231" spans="1:16" ht="18" x14ac:dyDescent="0.25">
      <c r="A231" s="68">
        <v>27</v>
      </c>
      <c r="B231" s="68" t="s">
        <v>160</v>
      </c>
      <c r="C231" s="3" t="s">
        <v>161</v>
      </c>
      <c r="D231" s="40" t="s">
        <v>63</v>
      </c>
      <c r="E231" s="41">
        <v>88</v>
      </c>
      <c r="F231" s="41">
        <v>150</v>
      </c>
      <c r="G231" s="42">
        <f>E231*$P$231</f>
        <v>132</v>
      </c>
      <c r="H231" s="41">
        <f>F231+G231</f>
        <v>282</v>
      </c>
      <c r="I231" s="41">
        <f>ROUND(H231,0)</f>
        <v>282</v>
      </c>
      <c r="J231" s="41">
        <f>I231*3</f>
        <v>846</v>
      </c>
      <c r="K231" s="41">
        <f>ROUND(J231,-1)</f>
        <v>850</v>
      </c>
      <c r="P231" s="7">
        <v>1.5</v>
      </c>
    </row>
    <row r="232" spans="1:16" ht="18" x14ac:dyDescent="0.25">
      <c r="A232" s="69"/>
      <c r="B232" s="69"/>
      <c r="C232" s="3" t="s">
        <v>19</v>
      </c>
      <c r="D232" s="40"/>
      <c r="E232" s="41"/>
      <c r="F232" s="41"/>
      <c r="G232" s="42"/>
      <c r="H232" s="41"/>
      <c r="I232" s="41"/>
      <c r="J232" s="41"/>
      <c r="K232" s="41"/>
    </row>
    <row r="233" spans="1:16" ht="18" x14ac:dyDescent="0.25">
      <c r="A233" s="13"/>
      <c r="B233" s="13"/>
      <c r="C233" s="3"/>
      <c r="D233" s="40"/>
      <c r="E233" s="41"/>
      <c r="F233" s="41"/>
      <c r="G233" s="42"/>
      <c r="H233" s="41"/>
      <c r="I233" s="41"/>
      <c r="J233" s="41"/>
      <c r="K233" s="41"/>
    </row>
    <row r="234" spans="1:16" ht="18" x14ac:dyDescent="0.25">
      <c r="A234" s="68">
        <v>28</v>
      </c>
      <c r="B234" s="68" t="s">
        <v>128</v>
      </c>
      <c r="C234" s="3" t="s">
        <v>20</v>
      </c>
      <c r="D234" s="40"/>
      <c r="E234" s="41"/>
      <c r="F234" s="41"/>
      <c r="G234" s="42"/>
      <c r="H234" s="41"/>
      <c r="I234" s="41"/>
      <c r="J234" s="41"/>
      <c r="K234" s="41"/>
    </row>
    <row r="235" spans="1:16" ht="18" x14ac:dyDescent="0.25">
      <c r="A235" s="70"/>
      <c r="B235" s="70"/>
      <c r="C235" s="3" t="s">
        <v>21</v>
      </c>
      <c r="D235" s="40" t="s">
        <v>67</v>
      </c>
      <c r="E235" s="41">
        <v>88</v>
      </c>
      <c r="F235" s="41">
        <v>150</v>
      </c>
      <c r="G235" s="42">
        <f>E235*$P$235</f>
        <v>484</v>
      </c>
      <c r="H235" s="41">
        <f>F235+G235</f>
        <v>634</v>
      </c>
      <c r="I235" s="41">
        <f>ROUND(H235,0)</f>
        <v>634</v>
      </c>
      <c r="J235" s="41">
        <f>I235*3</f>
        <v>1902</v>
      </c>
      <c r="K235" s="41">
        <f>ROUND(J235,-1)</f>
        <v>1900</v>
      </c>
      <c r="P235" s="7">
        <v>5.5</v>
      </c>
    </row>
    <row r="236" spans="1:16" ht="18" x14ac:dyDescent="0.25">
      <c r="A236" s="70"/>
      <c r="B236" s="70"/>
      <c r="C236" s="3" t="s">
        <v>22</v>
      </c>
      <c r="D236" s="40"/>
      <c r="E236" s="41"/>
      <c r="F236" s="41"/>
      <c r="G236" s="42"/>
      <c r="H236" s="41"/>
      <c r="I236" s="41"/>
      <c r="J236" s="41"/>
      <c r="K236" s="41"/>
    </row>
    <row r="237" spans="1:16" ht="18" x14ac:dyDescent="0.25">
      <c r="A237" s="70"/>
      <c r="B237" s="70"/>
      <c r="C237" s="3" t="s">
        <v>23</v>
      </c>
      <c r="D237" s="40"/>
      <c r="E237" s="41"/>
      <c r="F237" s="41"/>
      <c r="G237" s="42"/>
      <c r="H237" s="41"/>
      <c r="I237" s="41"/>
      <c r="J237" s="41"/>
      <c r="K237" s="41"/>
    </row>
    <row r="238" spans="1:16" ht="18" x14ac:dyDescent="0.25">
      <c r="A238" s="69"/>
      <c r="B238" s="69"/>
      <c r="C238" s="3" t="s">
        <v>24</v>
      </c>
      <c r="D238" s="40"/>
      <c r="E238" s="41"/>
      <c r="F238" s="41"/>
      <c r="G238" s="42"/>
      <c r="H238" s="41"/>
      <c r="I238" s="41"/>
      <c r="J238" s="41"/>
      <c r="K238" s="41"/>
    </row>
    <row r="239" spans="1:16" ht="18" x14ac:dyDescent="0.25">
      <c r="A239" s="11"/>
      <c r="B239" s="11"/>
      <c r="C239" s="22"/>
      <c r="D239" s="51"/>
      <c r="E239" s="52"/>
      <c r="F239" s="52"/>
      <c r="G239" s="53"/>
      <c r="H239" s="52"/>
      <c r="I239" s="52"/>
      <c r="J239" s="52"/>
      <c r="K239" s="52"/>
    </row>
    <row r="240" spans="1:16" ht="18" x14ac:dyDescent="0.25">
      <c r="A240" s="11"/>
      <c r="B240" s="68" t="s">
        <v>162</v>
      </c>
      <c r="C240" s="3" t="s">
        <v>164</v>
      </c>
      <c r="D240" s="40" t="s">
        <v>67</v>
      </c>
      <c r="E240" s="52">
        <v>88</v>
      </c>
      <c r="F240" s="52">
        <v>150</v>
      </c>
      <c r="G240" s="42">
        <f>E240*$P$240</f>
        <v>484</v>
      </c>
      <c r="H240" s="41">
        <f>F240+G240</f>
        <v>634</v>
      </c>
      <c r="I240" s="41">
        <f>ROUND(H240,0)</f>
        <v>634</v>
      </c>
      <c r="J240" s="41">
        <f>I240*3</f>
        <v>1902</v>
      </c>
      <c r="K240" s="41">
        <f>ROUND(J240,-1)</f>
        <v>1900</v>
      </c>
      <c r="P240">
        <v>5.5</v>
      </c>
    </row>
    <row r="241" spans="1:18" ht="18" x14ac:dyDescent="0.25">
      <c r="A241" s="11"/>
      <c r="B241" s="69"/>
      <c r="C241" s="3" t="s">
        <v>163</v>
      </c>
      <c r="D241" s="51"/>
      <c r="E241" s="52"/>
      <c r="F241" s="52"/>
      <c r="G241" s="53"/>
      <c r="H241" s="52"/>
      <c r="I241" s="52"/>
      <c r="J241" s="52"/>
      <c r="K241" s="52"/>
    </row>
    <row r="242" spans="1:18" ht="18" x14ac:dyDescent="0.25">
      <c r="A242" s="11"/>
      <c r="B242" s="11"/>
      <c r="C242" s="22"/>
      <c r="D242" s="51"/>
      <c r="E242" s="52"/>
      <c r="F242" s="52"/>
      <c r="G242" s="53"/>
      <c r="H242" s="52"/>
      <c r="I242" s="52"/>
      <c r="J242" s="52"/>
      <c r="K242" s="52"/>
    </row>
    <row r="243" spans="1:18" ht="18" x14ac:dyDescent="0.25">
      <c r="A243" s="13">
        <v>29</v>
      </c>
      <c r="B243" s="13" t="s">
        <v>96</v>
      </c>
      <c r="C243" s="3" t="s">
        <v>97</v>
      </c>
      <c r="D243" s="41" t="s">
        <v>80</v>
      </c>
      <c r="E243" s="41">
        <v>100</v>
      </c>
      <c r="F243" s="41">
        <v>290</v>
      </c>
      <c r="G243" s="42">
        <f>E243*$P$243</f>
        <v>725</v>
      </c>
      <c r="H243" s="41">
        <f>F243+G243</f>
        <v>1015</v>
      </c>
      <c r="I243" s="41">
        <f>ROUND(H243,0)</f>
        <v>1015</v>
      </c>
      <c r="J243" s="41">
        <f>I243*2</f>
        <v>2030</v>
      </c>
      <c r="K243" s="41">
        <f>ROUND(J243,-1)</f>
        <v>2030</v>
      </c>
      <c r="L243" s="2"/>
      <c r="M243" s="2"/>
      <c r="N243" s="2"/>
      <c r="O243" s="2"/>
      <c r="P243" s="12">
        <v>7.25</v>
      </c>
      <c r="R243" s="26"/>
    </row>
    <row r="244" spans="1:18" x14ac:dyDescent="0.2">
      <c r="A244" s="8"/>
      <c r="B244" s="8"/>
      <c r="C244" s="3"/>
      <c r="D244" s="37"/>
      <c r="E244" s="37"/>
      <c r="F244" s="37"/>
      <c r="G244" s="38"/>
      <c r="H244" s="37"/>
      <c r="I244" s="37"/>
      <c r="J244" s="37"/>
      <c r="K244" s="37"/>
      <c r="L244" s="2"/>
      <c r="M244" s="2"/>
      <c r="N244" s="2"/>
      <c r="O244" s="2"/>
      <c r="P244" s="2"/>
    </row>
    <row r="248" spans="1:18" ht="15" x14ac:dyDescent="0.25">
      <c r="I248" s="71" t="s">
        <v>109</v>
      </c>
      <c r="J248" s="71"/>
      <c r="K248" s="71"/>
    </row>
    <row r="249" spans="1:18" ht="15" x14ac:dyDescent="0.25">
      <c r="I249" s="71" t="s">
        <v>87</v>
      </c>
      <c r="J249" s="71"/>
      <c r="K249" s="71"/>
    </row>
  </sheetData>
  <mergeCells count="49">
    <mergeCell ref="A171:A172"/>
    <mergeCell ref="B128:B142"/>
    <mergeCell ref="B144:B158"/>
    <mergeCell ref="I249:K249"/>
    <mergeCell ref="A144:A158"/>
    <mergeCell ref="A209:A218"/>
    <mergeCell ref="A220:A229"/>
    <mergeCell ref="A231:A232"/>
    <mergeCell ref="A234:A238"/>
    <mergeCell ref="B234:B238"/>
    <mergeCell ref="B231:B232"/>
    <mergeCell ref="B220:B229"/>
    <mergeCell ref="A160:A162"/>
    <mergeCell ref="A2:K2"/>
    <mergeCell ref="I248:K248"/>
    <mergeCell ref="A76:A84"/>
    <mergeCell ref="A181:A182"/>
    <mergeCell ref="A184:A196"/>
    <mergeCell ref="A198:A207"/>
    <mergeCell ref="B184:B196"/>
    <mergeCell ref="B181:B182"/>
    <mergeCell ref="B171:B172"/>
    <mergeCell ref="B88:B106"/>
    <mergeCell ref="A174:A178"/>
    <mergeCell ref="B174:B178"/>
    <mergeCell ref="A108:A126"/>
    <mergeCell ref="A128:A142"/>
    <mergeCell ref="B164:B165"/>
    <mergeCell ref="A164:A165"/>
    <mergeCell ref="A88:A106"/>
    <mergeCell ref="A15:A22"/>
    <mergeCell ref="A5:A13"/>
    <mergeCell ref="B108:B126"/>
    <mergeCell ref="B37:B43"/>
    <mergeCell ref="A45:A64"/>
    <mergeCell ref="A66:A74"/>
    <mergeCell ref="A24:A43"/>
    <mergeCell ref="B76:B84"/>
    <mergeCell ref="B66:B74"/>
    <mergeCell ref="B45:B55"/>
    <mergeCell ref="C8:C9"/>
    <mergeCell ref="B240:B241"/>
    <mergeCell ref="B5:B13"/>
    <mergeCell ref="B24:B35"/>
    <mergeCell ref="B15:B22"/>
    <mergeCell ref="B160:B162"/>
    <mergeCell ref="B57:B63"/>
    <mergeCell ref="B209:B218"/>
    <mergeCell ref="B198:B207"/>
  </mergeCells>
  <phoneticPr fontId="4" type="noConversion"/>
  <printOptions horizontalCentered="1" verticalCentered="1"/>
  <pageMargins left="0" right="0" top="0" bottom="0" header="0.22" footer="0"/>
  <pageSetup paperSize="9" scale="12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E11:P20"/>
  <sheetViews>
    <sheetView zoomScale="140" zoomScaleNormal="140" workbookViewId="0">
      <selection activeCell="I20" sqref="I20"/>
    </sheetView>
  </sheetViews>
  <sheetFormatPr defaultRowHeight="12.75" x14ac:dyDescent="0.2"/>
  <cols>
    <col min="7" max="7" width="16" bestFit="1" customWidth="1"/>
    <col min="9" max="9" width="12.7109375" customWidth="1"/>
    <col min="12" max="12" width="12.42578125" bestFit="1" customWidth="1"/>
    <col min="15" max="15" width="12.42578125" bestFit="1" customWidth="1"/>
  </cols>
  <sheetData>
    <row r="11" spans="5:16" x14ac:dyDescent="0.2">
      <c r="E11" s="2"/>
      <c r="F11" s="27" t="s">
        <v>136</v>
      </c>
      <c r="G11" s="27" t="s">
        <v>137</v>
      </c>
      <c r="H11" s="27" t="s">
        <v>138</v>
      </c>
      <c r="I11" s="23" t="s">
        <v>139</v>
      </c>
    </row>
    <row r="12" spans="5:16" x14ac:dyDescent="0.2">
      <c r="E12" s="27" t="s">
        <v>132</v>
      </c>
      <c r="F12" s="2">
        <v>4321</v>
      </c>
      <c r="G12" s="2">
        <v>1472465</v>
      </c>
      <c r="H12" s="28">
        <f>(F12/G12)/12*1000000</f>
        <v>244.54457887510628</v>
      </c>
    </row>
    <row r="13" spans="5:16" x14ac:dyDescent="0.2">
      <c r="E13" s="27" t="s">
        <v>133</v>
      </c>
      <c r="F13" s="2">
        <v>4057.24</v>
      </c>
      <c r="G13" s="2">
        <v>1331796</v>
      </c>
      <c r="H13" s="28">
        <f>(F13/G13)/12*1000000</f>
        <v>253.87021235484514</v>
      </c>
      <c r="I13">
        <v>2031.61</v>
      </c>
      <c r="N13" s="23" t="s">
        <v>140</v>
      </c>
      <c r="O13" s="23" t="s">
        <v>143</v>
      </c>
    </row>
    <row r="14" spans="5:16" x14ac:dyDescent="0.2">
      <c r="E14" s="27" t="s">
        <v>134</v>
      </c>
      <c r="F14" s="2">
        <v>7694.21</v>
      </c>
      <c r="G14" s="2">
        <v>2475181</v>
      </c>
      <c r="H14" s="28">
        <f>(F14/G14)/12*1000000</f>
        <v>259.0453654365748</v>
      </c>
      <c r="L14" s="23" t="s">
        <v>141</v>
      </c>
      <c r="M14">
        <v>1200</v>
      </c>
      <c r="N14">
        <f>M14*0.85*275</f>
        <v>280500</v>
      </c>
      <c r="O14">
        <f>M14*0.85*350</f>
        <v>357000</v>
      </c>
      <c r="P14">
        <f>O14-N14</f>
        <v>76500</v>
      </c>
    </row>
    <row r="15" spans="5:16" x14ac:dyDescent="0.2">
      <c r="E15" s="27" t="s">
        <v>135</v>
      </c>
      <c r="F15" s="2">
        <v>273.58999999999997</v>
      </c>
      <c r="G15" s="2"/>
      <c r="H15" s="28" t="e">
        <f>(F15/G15)/12*1000000</f>
        <v>#DIV/0!</v>
      </c>
      <c r="L15" s="23" t="s">
        <v>142</v>
      </c>
      <c r="M15">
        <v>316740</v>
      </c>
    </row>
    <row r="16" spans="5:16" x14ac:dyDescent="0.2">
      <c r="E16" s="29" t="s">
        <v>82</v>
      </c>
      <c r="F16" s="29">
        <f>SUM(F12:F15)-F15</f>
        <v>16072.45</v>
      </c>
      <c r="G16" s="29">
        <f>SUM(G12:G15)</f>
        <v>5279442</v>
      </c>
      <c r="H16" s="30">
        <f>(F16/G16)/12*1000000</f>
        <v>253.6955294391592</v>
      </c>
      <c r="L16" s="23" t="s">
        <v>144</v>
      </c>
      <c r="N16">
        <f>(147064)</f>
        <v>147064</v>
      </c>
      <c r="O16">
        <f>N16</f>
        <v>147064</v>
      </c>
    </row>
    <row r="17" spans="13:16" x14ac:dyDescent="0.2">
      <c r="M17" s="23" t="s">
        <v>145</v>
      </c>
      <c r="N17">
        <f>100000*7.5</f>
        <v>750000</v>
      </c>
      <c r="O17">
        <f>N16*7.4</f>
        <v>1088273.6000000001</v>
      </c>
    </row>
    <row r="18" spans="13:16" x14ac:dyDescent="0.2">
      <c r="M18" s="23" t="s">
        <v>146</v>
      </c>
      <c r="N18">
        <f>(N16-100000)*7.8</f>
        <v>367099.2</v>
      </c>
    </row>
    <row r="19" spans="13:16" x14ac:dyDescent="0.2">
      <c r="M19" s="23" t="s">
        <v>147</v>
      </c>
      <c r="N19">
        <f>(M15-N16)*6</f>
        <v>1018056</v>
      </c>
      <c r="O19">
        <f>(M15-N16)*5</f>
        <v>848380</v>
      </c>
    </row>
    <row r="20" spans="13:16" x14ac:dyDescent="0.2">
      <c r="M20" s="23" t="s">
        <v>82</v>
      </c>
      <c r="N20">
        <f>N14+N17+N18+N19</f>
        <v>2415655.2000000002</v>
      </c>
      <c r="O20">
        <f>O14+O17+O19</f>
        <v>2293653.6</v>
      </c>
      <c r="P20">
        <f>N20-O20</f>
        <v>122001.60000000009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3:G17"/>
  <sheetViews>
    <sheetView workbookViewId="0">
      <selection activeCell="D20" sqref="D20"/>
    </sheetView>
  </sheetViews>
  <sheetFormatPr defaultRowHeight="12.75" x14ac:dyDescent="0.2"/>
  <sheetData>
    <row r="13" spans="2:7" x14ac:dyDescent="0.2">
      <c r="B13" t="s">
        <v>168</v>
      </c>
      <c r="C13">
        <f>210</f>
        <v>210</v>
      </c>
    </row>
    <row r="14" spans="2:7" x14ac:dyDescent="0.2">
      <c r="B14" t="s">
        <v>169</v>
      </c>
      <c r="C14">
        <v>120</v>
      </c>
      <c r="G14">
        <f>4*12</f>
        <v>48</v>
      </c>
    </row>
    <row r="15" spans="2:7" x14ac:dyDescent="0.2">
      <c r="C15">
        <f>C13-C14</f>
        <v>90</v>
      </c>
    </row>
    <row r="16" spans="2:7" x14ac:dyDescent="0.2">
      <c r="C16">
        <v>45</v>
      </c>
    </row>
    <row r="17" spans="3:3" x14ac:dyDescent="0.2">
      <c r="C17">
        <f>C15*C16</f>
        <v>4050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BESCOM</dc:creator>
  <cp:lastModifiedBy>Admin</cp:lastModifiedBy>
  <cp:lastPrinted>2024-12-02T05:17:24Z</cp:lastPrinted>
  <dcterms:created xsi:type="dcterms:W3CDTF">2009-11-26T07:21:53Z</dcterms:created>
  <dcterms:modified xsi:type="dcterms:W3CDTF">2025-03-03T06:37:25Z</dcterms:modified>
</cp:coreProperties>
</file>