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Pc\OneDrive\Desktop\"/>
    </mc:Choice>
  </mc:AlternateContent>
  <xr:revisionPtr revIDLastSave="0" documentId="13_ncr:1_{3CE6C21C-ED51-4318-BEC5-D2A25E7BF3F5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sheet1" sheetId="2" r:id="rId1"/>
    <sheet name="sheet1 (2)" sheetId="3" r:id="rId2"/>
    <sheet name="sheet1 (3)" sheetId="4" r:id="rId3"/>
    <sheet name="sheet1 (4)" sheetId="5" r:id="rId4"/>
  </sheets>
  <calcPr calcId="191029"/>
</workbook>
</file>

<file path=xl/calcChain.xml><?xml version="1.0" encoding="utf-8"?>
<calcChain xmlns="http://schemas.openxmlformats.org/spreadsheetml/2006/main">
  <c r="X22" i="5" l="1"/>
  <c r="W19" i="5"/>
  <c r="W17" i="5"/>
  <c r="W16" i="5"/>
  <c r="V9" i="5"/>
  <c r="Z9" i="5" s="1"/>
  <c r="U21" i="4"/>
  <c r="T21" i="4"/>
  <c r="S24" i="4" s="1"/>
  <c r="V20" i="4"/>
  <c r="Z20" i="4" s="1"/>
  <c r="V19" i="4"/>
  <c r="Z19" i="4" s="1"/>
  <c r="V18" i="4"/>
  <c r="Z18" i="4" s="1"/>
  <c r="Z17" i="4"/>
  <c r="V17" i="4"/>
  <c r="V16" i="4"/>
  <c r="Z16" i="4" s="1"/>
  <c r="V15" i="4"/>
  <c r="Z15" i="4" s="1"/>
  <c r="V14" i="4"/>
  <c r="Z14" i="4" s="1"/>
  <c r="V13" i="4"/>
  <c r="Z13" i="4" s="1"/>
  <c r="V12" i="4"/>
  <c r="Z12" i="4" s="1"/>
  <c r="V11" i="4"/>
  <c r="Z11" i="4" s="1"/>
  <c r="V10" i="4"/>
  <c r="Z10" i="4" s="1"/>
  <c r="V9" i="4"/>
  <c r="Z9" i="4" s="1"/>
  <c r="T51" i="3"/>
  <c r="U35" i="3"/>
  <c r="U51" i="3" s="1"/>
  <c r="T35" i="3"/>
  <c r="V50" i="3"/>
  <c r="Z50" i="3" s="1"/>
  <c r="V49" i="3"/>
  <c r="Z49" i="3" s="1"/>
  <c r="V48" i="3"/>
  <c r="Z48" i="3" s="1"/>
  <c r="V47" i="3"/>
  <c r="Z47" i="3" s="1"/>
  <c r="V46" i="3"/>
  <c r="Z46" i="3" s="1"/>
  <c r="V45" i="3"/>
  <c r="Z45" i="3" s="1"/>
  <c r="V44" i="3"/>
  <c r="Z44" i="3" s="1"/>
  <c r="V43" i="3"/>
  <c r="Z43" i="3" s="1"/>
  <c r="V42" i="3"/>
  <c r="Z42" i="3" s="1"/>
  <c r="V41" i="3"/>
  <c r="Z41" i="3" s="1"/>
  <c r="V40" i="3"/>
  <c r="Z40" i="3" s="1"/>
  <c r="V39" i="3"/>
  <c r="Z39" i="3" s="1"/>
  <c r="V38" i="3"/>
  <c r="Z38" i="3" s="1"/>
  <c r="V37" i="3"/>
  <c r="Z37" i="3" s="1"/>
  <c r="V36" i="3"/>
  <c r="Z36" i="3" s="1"/>
  <c r="V34" i="3"/>
  <c r="Z34" i="3" s="1"/>
  <c r="V33" i="3"/>
  <c r="Z33" i="3" s="1"/>
  <c r="V32" i="3"/>
  <c r="Z32" i="3" s="1"/>
  <c r="V31" i="3"/>
  <c r="Z31" i="3" s="1"/>
  <c r="V30" i="3"/>
  <c r="Z30" i="3" s="1"/>
  <c r="V29" i="3"/>
  <c r="Z29" i="3" s="1"/>
  <c r="V28" i="3"/>
  <c r="Z28" i="3" s="1"/>
  <c r="V27" i="3"/>
  <c r="Z27" i="3" s="1"/>
  <c r="V26" i="3"/>
  <c r="Z26" i="3" s="1"/>
  <c r="V25" i="3"/>
  <c r="Z25" i="3" s="1"/>
  <c r="V24" i="3"/>
  <c r="Z24" i="3" s="1"/>
  <c r="V23" i="3"/>
  <c r="Z23" i="3" s="1"/>
  <c r="V22" i="3"/>
  <c r="Z22" i="3" s="1"/>
  <c r="V21" i="3"/>
  <c r="Z21" i="3" s="1"/>
  <c r="V20" i="3"/>
  <c r="Z20" i="3" s="1"/>
  <c r="V19" i="3"/>
  <c r="Z19" i="3" s="1"/>
  <c r="V18" i="3"/>
  <c r="Z18" i="3" s="1"/>
  <c r="V17" i="3"/>
  <c r="Z17" i="3" s="1"/>
  <c r="V16" i="3"/>
  <c r="Z16" i="3" s="1"/>
  <c r="V15" i="3"/>
  <c r="Z15" i="3" s="1"/>
  <c r="V14" i="3"/>
  <c r="Z14" i="3" s="1"/>
  <c r="V13" i="3"/>
  <c r="Z13" i="3" s="1"/>
  <c r="V12" i="3"/>
  <c r="Z12" i="3" s="1"/>
  <c r="V11" i="3"/>
  <c r="Z11" i="3" s="1"/>
  <c r="V10" i="3"/>
  <c r="Z10" i="3" s="1"/>
  <c r="V9" i="3"/>
  <c r="Z9" i="3" s="1"/>
  <c r="U20" i="2"/>
  <c r="T20" i="2"/>
  <c r="V9" i="2"/>
  <c r="Z9" i="2" s="1"/>
  <c r="V10" i="2"/>
  <c r="Z10" i="2" s="1"/>
  <c r="V11" i="2"/>
  <c r="Z11" i="2" s="1"/>
  <c r="V12" i="2"/>
  <c r="Z12" i="2" s="1"/>
  <c r="V13" i="2"/>
  <c r="Z13" i="2" s="1"/>
  <c r="V14" i="2"/>
  <c r="V15" i="2"/>
  <c r="Z15" i="2" s="1"/>
  <c r="V16" i="2"/>
  <c r="Z16" i="2" s="1"/>
  <c r="V17" i="2"/>
  <c r="Z17" i="2" s="1"/>
  <c r="V18" i="2"/>
  <c r="Z18" i="2" s="1"/>
  <c r="V19" i="2"/>
  <c r="Z19" i="2" s="1"/>
  <c r="V21" i="2"/>
  <c r="Z21" i="2" s="1"/>
  <c r="V22" i="2"/>
  <c r="Z22" i="2" s="1"/>
  <c r="V23" i="2"/>
  <c r="Z23" i="2" s="1"/>
  <c r="V24" i="2"/>
  <c r="Z24" i="2" s="1"/>
  <c r="V25" i="2"/>
  <c r="Z25" i="2" s="1"/>
  <c r="V26" i="2"/>
  <c r="Z26" i="2" s="1"/>
  <c r="V27" i="2"/>
  <c r="Z27" i="2" s="1"/>
  <c r="V28" i="2"/>
  <c r="Z28" i="2" s="1"/>
  <c r="V29" i="2"/>
  <c r="Z29" i="2" s="1"/>
  <c r="V30" i="2"/>
  <c r="Z30" i="2" s="1"/>
  <c r="V31" i="2"/>
  <c r="V32" i="2"/>
  <c r="Z32" i="2" s="1"/>
  <c r="V34" i="2"/>
  <c r="Z34" i="2" s="1"/>
  <c r="V35" i="2"/>
  <c r="Z35" i="2" s="1"/>
  <c r="V36" i="2"/>
  <c r="Z36" i="2" s="1"/>
  <c r="V37" i="2"/>
  <c r="Z37" i="2" s="1"/>
  <c r="V38" i="2"/>
  <c r="Z38" i="2" s="1"/>
  <c r="V39" i="2"/>
  <c r="Z39" i="2" s="1"/>
  <c r="V40" i="2"/>
  <c r="Z40" i="2" s="1"/>
  <c r="V41" i="2"/>
  <c r="Z41" i="2" s="1"/>
  <c r="V42" i="2"/>
  <c r="Z42" i="2" s="1"/>
  <c r="V43" i="2"/>
  <c r="Z43" i="2" s="1"/>
  <c r="V44" i="2"/>
  <c r="V45" i="2"/>
  <c r="Z45" i="2" s="1"/>
  <c r="V46" i="2"/>
  <c r="Z46" i="2" s="1"/>
  <c r="V47" i="2"/>
  <c r="Z47" i="2" s="1"/>
  <c r="V48" i="2"/>
  <c r="Z48" i="2" s="1"/>
  <c r="V49" i="2"/>
  <c r="Z49" i="2" s="1"/>
  <c r="V50" i="2"/>
  <c r="Z50" i="2" s="1"/>
  <c r="V51" i="2"/>
  <c r="Z51" i="2" s="1"/>
  <c r="V52" i="2"/>
  <c r="V53" i="2"/>
  <c r="Z53" i="2" s="1"/>
  <c r="V54" i="2"/>
  <c r="Z54" i="2" s="1"/>
  <c r="V55" i="2"/>
  <c r="Z55" i="2" s="1"/>
  <c r="V56" i="2"/>
  <c r="V57" i="2"/>
  <c r="Z57" i="2" s="1"/>
  <c r="V58" i="2"/>
  <c r="Z58" i="2" s="1"/>
  <c r="V59" i="2"/>
  <c r="Z59" i="2" s="1"/>
  <c r="V60" i="2"/>
  <c r="Z60" i="2" s="1"/>
  <c r="V61" i="2"/>
  <c r="Z61" i="2" s="1"/>
  <c r="V62" i="2"/>
  <c r="Z62" i="2" s="1"/>
  <c r="Z14" i="2"/>
  <c r="Z31" i="2"/>
  <c r="Z44" i="2"/>
  <c r="Z52" i="2"/>
  <c r="Z56" i="2"/>
  <c r="S35" i="3" l="1"/>
  <c r="V35" i="3" s="1"/>
  <c r="Z35" i="3" s="1"/>
  <c r="V33" i="2"/>
  <c r="Z33" i="2" s="1"/>
  <c r="S20" i="2"/>
  <c r="V20" i="2" s="1"/>
  <c r="Z20" i="2" s="1"/>
</calcChain>
</file>

<file path=xl/sharedStrings.xml><?xml version="1.0" encoding="utf-8"?>
<sst xmlns="http://schemas.openxmlformats.org/spreadsheetml/2006/main" count="1524" uniqueCount="199">
  <si>
    <t>Bangalore Electricity Supply Company Limited (BESCOM)</t>
  </si>
  <si>
    <t>Energy Audit Feeder Wise Report</t>
  </si>
  <si>
    <t>Report for the Period from 01-Mar-2025 to 26-Mar-2025</t>
  </si>
  <si>
    <t xml:space="preserve">Generated By: </t>
  </si>
  <si>
    <t>BASAVARAJU C</t>
  </si>
  <si>
    <t xml:space="preserve">Generated On: </t>
  </si>
  <si>
    <t>26-03-2025 15:14:11</t>
  </si>
  <si>
    <t>Sub-Division:</t>
  </si>
  <si>
    <t>KUDUR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</si>
  <si>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</si>
  <si>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</si>
  <si>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</si>
  <si>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</si>
  <si>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</si>
  <si>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</si>
  <si>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</si>
  <si>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</si>
  <si>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</si>
  <si>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</si>
  <si>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</si>
  <si>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</si>
  <si>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</si>
  <si>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</si>
  <si>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</si>
  <si>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</si>
  <si>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</si>
  <si>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</si>
  <si>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</si>
  <si>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T</t>
  </si>
  <si>
    <t>U</t>
  </si>
  <si>
    <t>V</t>
  </si>
  <si>
    <t>W</t>
  </si>
  <si>
    <t>X</t>
  </si>
  <si>
    <t>Y</t>
  </si>
  <si>
    <t>Z</t>
  </si>
  <si>
    <t>AA</t>
  </si>
  <si>
    <t>AB</t>
  </si>
  <si>
    <t>AC</t>
  </si>
  <si>
    <t>AD</t>
  </si>
  <si>
    <t>AE</t>
  </si>
  <si>
    <t>SLNO</t>
  </si>
  <si>
    <t>CIRCLE</t>
  </si>
  <si>
    <t>DIVISION</t>
  </si>
  <si>
    <t>SUB DIVISION</t>
  </si>
  <si>
    <t>STATION NAME</t>
  </si>
  <si>
    <t>FEEDER OWNER</t>
  </si>
  <si>
    <t>FEEDER INDEX</t>
  </si>
  <si>
    <t>FEEDER NAME</t>
  </si>
  <si>
    <t>FEEDER TYPE</t>
  </si>
  <si>
    <t>FEEDER CODE</t>
  </si>
  <si>
    <t>NO OF INS</t>
  </si>
  <si>
    <t>NO OF ACTIVE INS</t>
  </si>
  <si>
    <t>NO OF INACTIVE INS</t>
  </si>
  <si>
    <t>IP SET INSTALLATION</t>
  </si>
  <si>
    <t>IP_UNBILLED</t>
  </si>
  <si>
    <t>IR</t>
  </si>
  <si>
    <t>FR</t>
  </si>
  <si>
    <t>MC</t>
  </si>
  <si>
    <t>CONSUMPTION Q=(O-N)*P</t>
  </si>
  <si>
    <t>IMPORTED ENERGY</t>
  </si>
  <si>
    <t>EXPORTED ENERGY</t>
  </si>
  <si>
    <t>NET CONSUMPTION T=Q+R-S</t>
  </si>
  <si>
    <t>METERED SALES</t>
  </si>
  <si>
    <t>UNMETERED SALES</t>
  </si>
  <si>
    <t>TOTAL SALES W=U+V</t>
  </si>
  <si>
    <t>T AND D LOSS X=(T-W/T)*100</t>
  </si>
  <si>
    <t>DEMAND</t>
  </si>
  <si>
    <t>COLLECTION</t>
  </si>
  <si>
    <t>BILLING EFFICIENCY AA=W/T</t>
  </si>
  <si>
    <t>COLLECTION EFFICIENCY AB=Z/Y</t>
  </si>
  <si>
    <t>AT AND C LOSS AC=((1-AA*AB)*100</t>
  </si>
  <si>
    <t>REMARKS</t>
  </si>
  <si>
    <t>STATUS</t>
  </si>
  <si>
    <t>RAMANAGAR</t>
  </si>
  <si>
    <t>MAGADI</t>
  </si>
  <si>
    <t>SRIGIRIPURA_66</t>
  </si>
  <si>
    <t>F06-C BEGURU</t>
  </si>
  <si>
    <t>AGRI</t>
  </si>
  <si>
    <t>18135</t>
  </si>
  <si>
    <t>F01-MARASANDRA</t>
  </si>
  <si>
    <t>1210103905010103</t>
  </si>
  <si>
    <t>F02-VEERASAGARA</t>
  </si>
  <si>
    <t>NJY</t>
  </si>
  <si>
    <t>1210103905010101</t>
  </si>
  <si>
    <t>F03-HOSAHALLI</t>
  </si>
  <si>
    <t>1210103905010102</t>
  </si>
  <si>
    <t>F04-BETTAHALLI</t>
  </si>
  <si>
    <t>1210103905010104</t>
  </si>
  <si>
    <t>KUDUR_66</t>
  </si>
  <si>
    <t>F01-KANNURU</t>
  </si>
  <si>
    <t>1210103902020306</t>
  </si>
  <si>
    <t xml:space="preserve">F02-BISKUR </t>
  </si>
  <si>
    <t>1210103902011501</t>
  </si>
  <si>
    <t>F03-KAGIMADU</t>
  </si>
  <si>
    <t>1210103902020302</t>
  </si>
  <si>
    <t>F04-SRIGIRIPURA</t>
  </si>
  <si>
    <t>1210103902020303</t>
  </si>
  <si>
    <t xml:space="preserve">F05-VEERASAGARA </t>
  </si>
  <si>
    <t>1210103902010107</t>
  </si>
  <si>
    <t xml:space="preserve">F06-MADIGONDANAHALLI </t>
  </si>
  <si>
    <t>1210103902020304</t>
  </si>
  <si>
    <t>F07-MARURU</t>
  </si>
  <si>
    <t>1210103902010103</t>
  </si>
  <si>
    <t>F08-KUDUR</t>
  </si>
  <si>
    <t>MIXED LOAD</t>
  </si>
  <si>
    <t>1210103902010101</t>
  </si>
  <si>
    <t>F09-HULLICAL</t>
  </si>
  <si>
    <t>1210103902010102</t>
  </si>
  <si>
    <t>F10-TIPPASANDRA</t>
  </si>
  <si>
    <t>1210103902010104</t>
  </si>
  <si>
    <t>F11-NARASANDRA</t>
  </si>
  <si>
    <t>1210103902020305</t>
  </si>
  <si>
    <t>F12-ARSINAKUNTE</t>
  </si>
  <si>
    <t>1210103902020307</t>
  </si>
  <si>
    <t>F13-BYRAPURA</t>
  </si>
  <si>
    <t>1210103902010106</t>
  </si>
  <si>
    <t>F14- HOOJENAHALLI</t>
  </si>
  <si>
    <t>1210103902011502</t>
  </si>
  <si>
    <t>GUDEMARANAHALLI_66</t>
  </si>
  <si>
    <t>F01-SOLLUR-.</t>
  </si>
  <si>
    <t>1210103903010101</t>
  </si>
  <si>
    <t>F02-LAKKENAHALLI</t>
  </si>
  <si>
    <t>1210103903010102</t>
  </si>
  <si>
    <t>F03-GUDEMARANAHALLI</t>
  </si>
  <si>
    <t>1210103903010103</t>
  </si>
  <si>
    <t>F04-MARIKUPPE</t>
  </si>
  <si>
    <t>1210103903010107</t>
  </si>
  <si>
    <t>F05-SOLLUR-CHILLING-CENTRE</t>
  </si>
  <si>
    <t>INDUSTRIAL</t>
  </si>
  <si>
    <t>1210103903020301</t>
  </si>
  <si>
    <t>F06-BANAVADI</t>
  </si>
  <si>
    <t>1210103903020302</t>
  </si>
  <si>
    <t>F07-CHANNUVALLI</t>
  </si>
  <si>
    <t>1210103903010105</t>
  </si>
  <si>
    <t>F08-BITTASANDRA</t>
  </si>
  <si>
    <t>1210103903020303</t>
  </si>
  <si>
    <t>F09-YENNEGERE</t>
  </si>
  <si>
    <t>1210103903010106</t>
  </si>
  <si>
    <t>F10-HAKKINALU</t>
  </si>
  <si>
    <t>1210103903010104</t>
  </si>
  <si>
    <t>F11-KORAMANGALA</t>
  </si>
  <si>
    <t>1210103903020304</t>
  </si>
  <si>
    <t>HULLENAHALLI_66</t>
  </si>
  <si>
    <t xml:space="preserve">F01-NERALEKERE </t>
  </si>
  <si>
    <t>1210103901010106</t>
  </si>
  <si>
    <t>F02-GANGONAHALLI</t>
  </si>
  <si>
    <t>1210103901010101</t>
  </si>
  <si>
    <t>F03-TIPPASANDRA</t>
  </si>
  <si>
    <t>1210103901010102</t>
  </si>
  <si>
    <t>F04-HULLENAHALLI</t>
  </si>
  <si>
    <t>1210103901010103</t>
  </si>
  <si>
    <t>F05-SANKIGATTA</t>
  </si>
  <si>
    <t>1210103901020305</t>
  </si>
  <si>
    <t>F06-HONNAPURA</t>
  </si>
  <si>
    <t>1210103901020303</t>
  </si>
  <si>
    <t>F07-VIRUPAPURA</t>
  </si>
  <si>
    <t>1210103901020301</t>
  </si>
  <si>
    <t>F08-SUGGANAHALLI</t>
  </si>
  <si>
    <t>1210103901020302</t>
  </si>
  <si>
    <t xml:space="preserve">F09-HEBBALALU </t>
  </si>
  <si>
    <t>1210103901010105</t>
  </si>
  <si>
    <t>F10-TAVAREKERE</t>
  </si>
  <si>
    <t>1210103901010104</t>
  </si>
  <si>
    <t>F11-BEECHANAHALLI</t>
  </si>
  <si>
    <t>1210103901020101</t>
  </si>
  <si>
    <t>F13-CHIKKAHALLI</t>
  </si>
  <si>
    <t>1210103901010301</t>
  </si>
  <si>
    <t>SHIVANASANDRA_66</t>
  </si>
  <si>
    <t>F01-JANIGERE</t>
  </si>
  <si>
    <t>1210103904010102</t>
  </si>
  <si>
    <t>F02-KALARI</t>
  </si>
  <si>
    <t>1210103904010103</t>
  </si>
  <si>
    <t>F03-KODIPALYA</t>
  </si>
  <si>
    <t>1210103904010104</t>
  </si>
  <si>
    <t>F04-THALEKERE</t>
  </si>
  <si>
    <t>1210103904010101</t>
  </si>
  <si>
    <t>F06-CHIKMUDIGERE</t>
  </si>
  <si>
    <t>1210103904010105</t>
  </si>
  <si>
    <t>F07-MALLASANDRA</t>
  </si>
  <si>
    <t>1210103904010106</t>
  </si>
  <si>
    <t>F09-CHILURU</t>
  </si>
  <si>
    <t>1210103904010107</t>
  </si>
  <si>
    <t>F10-SURAPPANAHALLI</t>
  </si>
  <si>
    <t>1210103904010108</t>
  </si>
  <si>
    <t>F13-SHIVANASANDRA</t>
  </si>
  <si>
    <t>1210103904020101</t>
  </si>
  <si>
    <t>TAVAREKERE</t>
  </si>
  <si>
    <t>TGHALLI_66</t>
  </si>
  <si>
    <t>F03-MOTAGANAHALLI</t>
  </si>
  <si>
    <t>1210105901010103</t>
  </si>
  <si>
    <t>Column1</t>
  </si>
  <si>
    <t>INPUT</t>
  </si>
  <si>
    <t>METERD</t>
  </si>
  <si>
    <t>Remainig</t>
  </si>
  <si>
    <t>Total HP</t>
  </si>
  <si>
    <t>Per HP Con To Be updated as</t>
  </si>
  <si>
    <t>But in System it is updated as</t>
  </si>
  <si>
    <t>Motaganahalli Feeder INPUT for the month of March-25</t>
  </si>
  <si>
    <t>So Please revise Motaganahalli Feeder IP Consumption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</si>
</sst>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  <family val="2"/>
    </font>
    <font>
      <b/>
      <sz val="14"/>
      <color rgb="FF000000"/>
      <name val="Calibri"/>
      <family val="2"/>
    </font>
    <font>
      <b/>
      <sz val="10"/>
      <color rgb="FF000000"/>
      <name val="Calibri"/>
      <family val="2"/>
    </font>
    <font>
      <b/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5D8AA8"/>
      </patternFill>
    </fill>
    <fill>
      <patternFill patternType="solid">
        <fgColor rgb="FFB2BEB5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 applyBorder="0"/>
  </cellStyleXfs>
  <cellXfs count="23">
    <xf numFmtId="0" fontId="0" fillId="0" borderId="0" xfId="0"/>
    <xf numFmtId="0" fontId="3" fillId="3" borderId="0" xfId="0" applyFont="1" applyFill="1" applyAlignment="1">
      <alignment horizontal="right"/>
    </xf>
    <xf numFmtId="0" fontId="3" fillId="2" borderId="1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3" borderId="0" xfId="0" applyFill="1"/>
    <xf numFmtId="0" fontId="3" fillId="3" borderId="0" xfId="0" applyFont="1" applyFill="1" applyAlignment="1">
      <alignment horizontal="left" wrapText="1"/>
    </xf>
    <xf numFmtId="0" fontId="0" fillId="0" borderId="0" xfId="0" applyAlignment="1">
      <alignment wrapText="1"/>
    </xf>
    <xf numFmtId="0" fontId="0" fillId="4" borderId="0" xfId="0" applyFill="1" applyAlignment="1">
      <alignment horizontal="center"/>
    </xf>
    <xf numFmtId="0" fontId="3" fillId="4" borderId="1" xfId="0" applyFont="1" applyFill="1" applyBorder="1" applyAlignment="1">
      <alignment horizontal="center"/>
    </xf>
    <xf numFmtId="2" fontId="0" fillId="4" borderId="0" xfId="0" applyNumberFormat="1" applyFill="1" applyAlignment="1">
      <alignment horizontal="center"/>
    </xf>
    <xf numFmtId="0" fontId="0" fillId="3" borderId="0" xfId="0" applyFill="1" applyAlignment="1">
      <alignment horizontal="center"/>
    </xf>
    <xf numFmtId="0" fontId="0" fillId="4" borderId="0" xfId="0" applyFill="1" applyAlignment="1">
      <alignment horizontal="center" wrapText="1"/>
    </xf>
    <xf numFmtId="0" fontId="0" fillId="0" borderId="0" xfId="0" applyAlignment="1">
      <alignment horizontal="center" wrapText="1"/>
    </xf>
    <xf numFmtId="0" fontId="3" fillId="2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3" borderId="0" xfId="0" applyFont="1" applyFill="1" applyAlignment="1">
      <alignment horizontal="right"/>
    </xf>
    <xf numFmtId="0" fontId="3" fillId="3" borderId="0" xfId="0" applyFont="1" applyFill="1" applyAlignment="1">
      <alignment horizontal="left" wrapText="1"/>
    </xf>
    <xf numFmtId="0" fontId="2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0" fontId="2" fillId="0" borderId="0" xfId="0" applyFont="1" applyAlignment="1">
      <alignment horizontal="left"/>
    </xf>
    <xf numFmtId="1" fontId="0" fillId="0" borderId="0" xfId="0" applyNumberFormat="1" applyAlignment="1">
      <alignment horizontal="center"/>
    </xf>
  </cellXfs>
  <cellStyles count="1">
    <cellStyle name="Normal" xfId="0" builtinId="0"/>
  </cellStyles>
  <dxfs count="46">
    <dxf>
      <numFmt numFmtId="2" formatCode="0.00"/>
      <fill>
        <patternFill>
          <fgColor indexed="64"/>
          <bgColor rgb="FFFFFF00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indent="0" justifyLastLine="0" shrinkToFit="0" readingOrder="0"/>
    </dxf>
    <dxf>
      <alignment horizontal="center" vertical="bottom" textRotation="0" indent="0" justifyLastLine="0" shrinkToFit="0" readingOrder="0"/>
    </dxf>
    <dxf>
      <alignment horizontal="center" vertical="bottom" textRotation="0" indent="0" justifyLastLine="0" shrinkToFit="0" readingOrder="0"/>
    </dxf>
    <dxf>
      <alignment horizontal="center" vertical="bottom" textRotation="0" wrapText="0" indent="0" justifyLastLine="0" shrinkToFit="0" readingOrder="0"/>
    </dxf>
    <dxf>
      <fill>
        <patternFill>
          <fgColor indexed="64"/>
          <bgColor rgb="FFFFFF00"/>
        </patternFill>
      </fill>
      <alignment horizontal="center" vertical="bottom" textRotation="0" indent="0" justifyLastLine="0" shrinkToFit="0" readingOrder="0"/>
    </dxf>
    <dxf>
      <fill>
        <patternFill>
          <fgColor indexed="64"/>
          <bgColor rgb="FFFFFF00"/>
        </patternFill>
      </fill>
      <alignment horizontal="center" vertical="bottom" textRotation="0" indent="0" justifyLastLine="0" shrinkToFit="0" readingOrder="0"/>
    </dxf>
    <dxf>
      <alignment horizontal="general" vertical="bottom" textRotation="0" wrapText="1" indent="0" justifyLastLine="0" shrinkToFit="0" readingOrder="0"/>
    </dxf>
    <dxf>
      <numFmt numFmtId="2" formatCode="0.00"/>
      <fill>
        <patternFill patternType="solid">
          <fgColor indexed="64"/>
          <bgColor rgb="FFFFFF00"/>
        </patternFill>
      </fill>
      <alignment horizontal="center" vertical="bottom" textRotation="0" wrapText="0" indent="0" justifyLastLine="0" shrinkToFit="0" readingOrder="0"/>
    </dxf>
    <dxf>
      <numFmt numFmtId="2" formatCode="0.00"/>
      <fill>
        <patternFill>
          <fgColor indexed="64"/>
          <bgColor rgb="FFFFFF00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rgb="FFFFFF00"/>
        </patternFill>
      </fill>
      <alignment horizontal="center" vertical="bottom" textRotation="0" wrapText="0" indent="0" justifyLastLine="0" shrinkToFit="0" readingOrder="0"/>
    </dxf>
    <dxf>
      <fill>
        <patternFill>
          <fgColor indexed="64"/>
          <bgColor rgb="FFFFFF00"/>
        </patternFill>
      </fill>
      <alignment horizontal="center" vertical="bottom" textRotation="0" indent="0" justifyLastLine="0" shrinkToFit="0" readingOrder="0"/>
    </dxf>
    <dxf>
      <fill>
        <patternFill patternType="solid">
          <fgColor indexed="64"/>
          <bgColor rgb="FFFFFF00"/>
        </patternFill>
      </fill>
      <alignment horizontal="center" vertical="bottom" textRotation="0" wrapText="0" indent="0" justifyLastLine="0" shrinkToFit="0" readingOrder="0"/>
    </dxf>
    <dxf>
      <fill>
        <patternFill>
          <fgColor indexed="64"/>
          <bgColor rgb="FFFFFF00"/>
        </patternFill>
      </fill>
      <alignment horizontal="center" vertical="bottom" textRotation="0" indent="0" justifyLastLine="0" shrinkToFit="0" readingOrder="0"/>
    </dxf>
    <dxf>
      <alignment horizontal="general" vertical="bottom" textRotation="0" wrapText="1" indent="0" justifyLastLine="0" shrinkToFit="0" readingOrder="0"/>
    </dxf>
    <dxf>
      <numFmt numFmtId="2" formatCode="0.00"/>
      <fill>
        <patternFill patternType="solid">
          <fgColor indexed="64"/>
          <bgColor rgb="FFFFFF00"/>
        </patternFill>
      </fill>
      <alignment horizontal="center" vertical="bottom" textRotation="0" wrapText="0" indent="0" justifyLastLine="0" shrinkToFit="0" readingOrder="0"/>
    </dxf>
    <dxf>
      <numFmt numFmtId="2" formatCode="0.00"/>
      <fill>
        <patternFill>
          <fgColor indexed="64"/>
          <bgColor rgb="FFFFFF00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rgb="FFFFFF00"/>
        </patternFill>
      </fill>
      <alignment horizontal="center" vertical="bottom" textRotation="0" wrapText="0" indent="0" justifyLastLine="0" shrinkToFit="0" readingOrder="0"/>
    </dxf>
    <dxf>
      <fill>
        <patternFill>
          <fgColor indexed="64"/>
          <bgColor rgb="FFFFFF00"/>
        </patternFill>
      </fill>
      <alignment horizontal="center" vertical="bottom" textRotation="0" indent="0" justifyLastLine="0" shrinkToFit="0" readingOrder="0"/>
    </dxf>
    <dxf>
      <fill>
        <patternFill patternType="solid">
          <fgColor indexed="64"/>
          <bgColor rgb="FFFFFF00"/>
        </patternFill>
      </fill>
      <alignment horizontal="center" vertical="bottom" textRotation="0" wrapText="0" indent="0" justifyLastLine="0" shrinkToFit="0" readingOrder="0"/>
    </dxf>
    <dxf>
      <fill>
        <patternFill>
          <fgColor indexed="64"/>
          <bgColor rgb="FFFFFF00"/>
        </patternFill>
      </fill>
      <alignment horizontal="center" vertical="bottom" textRotation="0" indent="0" justifyLastLine="0" shrinkToFit="0" readingOrder="0"/>
    </dxf>
    <dxf>
      <alignment horizontal="general" vertical="bottom" textRotation="0" wrapText="1" indent="0" justifyLastLine="0" shrinkToFit="0" readingOrder="0"/>
    </dxf>
    <dxf>
      <numFmt numFmtId="2" formatCode="0.00"/>
      <fill>
        <patternFill>
          <fgColor indexed="64"/>
          <bgColor rgb="FFFFFF00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indent="0" justifyLastLine="0" shrinkToFit="0" readingOrder="0"/>
    </dxf>
    <dxf>
      <alignment horizontal="center" vertical="bottom" textRotation="0" indent="0" justifyLastLine="0" shrinkToFit="0" readingOrder="0"/>
    </dxf>
    <dxf>
      <alignment horizontal="center" vertical="bottom" textRotation="0" indent="0" justifyLastLine="0" shrinkToFit="0" readingOrder="0"/>
    </dxf>
    <dxf>
      <alignment horizontal="center" vertical="bottom" textRotation="0" wrapText="0" indent="0" justifyLastLine="0" shrinkToFit="0" readingOrder="0"/>
    </dxf>
    <dxf>
      <fill>
        <patternFill>
          <fgColor indexed="64"/>
          <bgColor rgb="FFFFFF00"/>
        </patternFill>
      </fill>
      <alignment horizontal="center" vertical="bottom" textRotation="0" indent="0" justifyLastLine="0" shrinkToFit="0" readingOrder="0"/>
    </dxf>
    <dxf>
      <fill>
        <patternFill>
          <fgColor indexed="64"/>
          <bgColor rgb="FFFFFF00"/>
        </patternFill>
      </fill>
      <alignment horizontal="center" vertical="bottom" textRotation="0" indent="0" justifyLastLine="0" shrinkToFit="0" readingOrder="0"/>
    </dxf>
    <dxf>
      <alignment horizontal="general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8:AH62" totalsRowShown="0" headerRowDxfId="45">
  <autoFilter ref="A8:AH62" xr:uid="{00000000-000C-0000-FFFF-FFFF00000000}"/>
  <sortState xmlns:xlrd2="http://schemas.microsoft.com/office/spreadsheetml/2017/richdata2" ref="A9:AH62">
    <sortCondition ref="E8:E62"/>
  </sortState>
  <tableColumns count="34">
    <tableColumn id="1" xr3:uid="{00000000-0010-0000-0000-000001000000}" name="SLNO"/>
    <tableColumn id="2" xr3:uid="{00000000-0010-0000-0000-000002000000}" name="CIRCLE"/>
    <tableColumn id="3" xr3:uid="{00000000-0010-0000-0000-000003000000}" name="DIVISION"/>
    <tableColumn id="4" xr3:uid="{00000000-0010-0000-0000-000004000000}" name="SUB DIVISION"/>
    <tableColumn id="5" xr3:uid="{00000000-0010-0000-0000-000005000000}" name="STATION NAME"/>
    <tableColumn id="6" xr3:uid="{00000000-0010-0000-0000-000006000000}" name="FEEDER OWNER"/>
    <tableColumn id="7" xr3:uid="{00000000-0010-0000-0000-000007000000}" name="FEEDER INDEX"/>
    <tableColumn id="8" xr3:uid="{00000000-0010-0000-0000-000008000000}" name="FEEDER NAME"/>
    <tableColumn id="9" xr3:uid="{00000000-0010-0000-0000-000009000000}" name="FEEDER TYPE"/>
    <tableColumn id="10" xr3:uid="{00000000-0010-0000-0000-00000A000000}" name="FEEDER CODE"/>
    <tableColumn id="11" xr3:uid="{00000000-0010-0000-0000-00000B000000}" name="NO OF INS"/>
    <tableColumn id="12" xr3:uid="{00000000-0010-0000-0000-00000C000000}" name="NO OF ACTIVE INS"/>
    <tableColumn id="13" xr3:uid="{00000000-0010-0000-0000-00000D000000}" name="NO OF INACTIVE INS"/>
    <tableColumn id="14" xr3:uid="{00000000-0010-0000-0000-00000E000000}" name="IP SET INSTALLATION"/>
    <tableColumn id="15" xr3:uid="{00000000-0010-0000-0000-00000F000000}" name="IP_UNBILLED"/>
    <tableColumn id="16" xr3:uid="{00000000-0010-0000-0000-000010000000}" name="IR"/>
    <tableColumn id="17" xr3:uid="{00000000-0010-0000-0000-000011000000}" name="FR"/>
    <tableColumn id="18" xr3:uid="{00000000-0010-0000-0000-000012000000}" name="MC"/>
    <tableColumn id="19" xr3:uid="{00000000-0010-0000-0000-000013000000}" name="CONSUMPTION Q=(O-N)*P"/>
    <tableColumn id="20" xr3:uid="{00000000-0010-0000-0000-000014000000}" name="IMPORTED ENERGY" dataDxfId="44"/>
    <tableColumn id="21" xr3:uid="{00000000-0010-0000-0000-000015000000}" name="EXPORTED ENERGY" dataDxfId="43"/>
    <tableColumn id="22" xr3:uid="{00000000-0010-0000-0000-000016000000}" name="NET CONSUMPTION T=Q+R-S" dataDxfId="42">
      <calculatedColumnFormula>Table1[[#This Row],[CONSUMPTION Q=(O-N)*P]]+Table1[[#This Row],[IMPORTED ENERGY]]-Table1[[#This Row],[EXPORTED ENERGY]]</calculatedColumnFormula>
    </tableColumn>
    <tableColumn id="23" xr3:uid="{00000000-0010-0000-0000-000017000000}" name="METERED SALES" dataDxfId="41"/>
    <tableColumn id="24" xr3:uid="{00000000-0010-0000-0000-000018000000}" name="UNMETERED SALES" dataDxfId="40"/>
    <tableColumn id="25" xr3:uid="{00000000-0010-0000-0000-000019000000}" name="TOTAL SALES W=U+V" dataDxfId="39"/>
    <tableColumn id="34" xr3:uid="{FC5CF51F-245D-4F74-ADF6-917B3662766D}" name="Column1" dataDxfId="38">
      <calculatedColumnFormula>(Table1[[#This Row],[NET CONSUMPTION T=Q+R-S]]-Table1[[#This Row],[TOTAL SALES W=U+V]])/Table1[[#This Row],[NET CONSUMPTION T=Q+R-S]]*100</calculatedColumnFormula>
    </tableColumn>
    <tableColumn id="26" xr3:uid="{00000000-0010-0000-0000-00001A000000}" name="T AND D LOSS X=(T-W/T)*100"/>
    <tableColumn id="27" xr3:uid="{00000000-0010-0000-0000-00001B000000}" name="DEMAND"/>
    <tableColumn id="28" xr3:uid="{00000000-0010-0000-0000-00001C000000}" name="COLLECTION"/>
    <tableColumn id="29" xr3:uid="{00000000-0010-0000-0000-00001D000000}" name="BILLING EFFICIENCY AA=W/T"/>
    <tableColumn id="30" xr3:uid="{00000000-0010-0000-0000-00001E000000}" name="COLLECTION EFFICIENCY AB=Z/Y"/>
    <tableColumn id="31" xr3:uid="{00000000-0010-0000-0000-00001F000000}" name="AT AND C LOSS AC=((1-AA*AB)*100"/>
    <tableColumn id="32" xr3:uid="{00000000-0010-0000-0000-000020000000}" name="REMARKS"/>
    <tableColumn id="33" xr3:uid="{00000000-0010-0000-0000-000021000000}" name="STATUS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68174B98-5633-4F9E-A42F-50F81E23322C}" name="Table13" displayName="Table13" ref="A8:AH51" totalsRowCount="1" headerRowDxfId="37">
  <autoFilter ref="A8:AH50" xr:uid="{00000000-000C-0000-FFFF-FFFF00000000}"/>
  <sortState xmlns:xlrd2="http://schemas.microsoft.com/office/spreadsheetml/2017/richdata2" ref="A9:AH50">
    <sortCondition ref="E8:E50"/>
  </sortState>
  <tableColumns count="34">
    <tableColumn id="1" xr3:uid="{9B02E8FA-D5F3-499F-8093-5131CA24C22E}" name="SLNO"/>
    <tableColumn id="2" xr3:uid="{0A0BDD60-F8DC-4FEF-BE0B-FBECB1837B6C}" name="CIRCLE"/>
    <tableColumn id="3" xr3:uid="{2D124A39-1514-4248-BEC0-F1D6A856FBC2}" name="DIVISION"/>
    <tableColumn id="4" xr3:uid="{ABA88BC7-F41F-4D94-9432-675AE4C1D170}" name="SUB DIVISION"/>
    <tableColumn id="5" xr3:uid="{E471E6DD-A8CF-4F8C-ACAD-FB560E7DFA62}" name="STATION NAME"/>
    <tableColumn id="6" xr3:uid="{36D2A88A-B56B-4EC6-ADA4-A3C5A815920C}" name="FEEDER OWNER"/>
    <tableColumn id="7" xr3:uid="{E3C28930-6BB2-403D-8790-936220060B61}" name="FEEDER INDEX"/>
    <tableColumn id="8" xr3:uid="{68A917EF-498A-4FE6-84CD-FAE1BF01900C}" name="FEEDER NAME"/>
    <tableColumn id="9" xr3:uid="{26ED1C34-92BB-4A56-BDA4-C980BE5D8406}" name="FEEDER TYPE"/>
    <tableColumn id="10" xr3:uid="{A8C6BD90-B8EA-4164-9E83-E63687EC99ED}" name="FEEDER CODE"/>
    <tableColumn id="11" xr3:uid="{571AD699-3A35-4391-9ED3-336F2099E610}" name="NO OF INS"/>
    <tableColumn id="12" xr3:uid="{7605A8B6-E09C-4069-B598-6CDEFCE553C3}" name="NO OF ACTIVE INS"/>
    <tableColumn id="13" xr3:uid="{175B3066-A5FD-48E3-BA0C-69F7314D732E}" name="NO OF INACTIVE INS"/>
    <tableColumn id="14" xr3:uid="{95B3A682-3DD1-4CEA-B402-614F95C0B91A}" name="IP SET INSTALLATION"/>
    <tableColumn id="15" xr3:uid="{1C03B240-DC65-4601-9249-9570B5B557A8}" name="IP_UNBILLED"/>
    <tableColumn id="16" xr3:uid="{FEF321EA-8BB5-4AFF-961D-540052E1F868}" name="IR"/>
    <tableColumn id="17" xr3:uid="{E151BA9D-0AF8-422D-9A5D-42DA1870A7F2}" name="FR"/>
    <tableColumn id="18" xr3:uid="{8A1301ED-93F2-4A80-97C5-2410D1F50E76}" name="MC"/>
    <tableColumn id="19" xr3:uid="{78BF1534-13D9-4DF9-8794-429730C5C34F}" name="CONSUMPTION Q=(O-N)*P"/>
    <tableColumn id="20" xr3:uid="{23FB1A08-6157-4BB1-98E1-F19C4302028A}" name="IMPORTED ENERGY" totalsRowFunction="sum" dataDxfId="36" totalsRowDxfId="35"/>
    <tableColumn id="21" xr3:uid="{7561E477-ACCA-4FCB-9776-4D5DF8F61BDC}" name="EXPORTED ENERGY" totalsRowFunction="sum" dataDxfId="34" totalsRowDxfId="33"/>
    <tableColumn id="22" xr3:uid="{F1F29C19-B71C-46B2-867B-91CE405FC417}" name="NET CONSUMPTION T=Q+R-S" dataDxfId="32" totalsRowDxfId="31">
      <calculatedColumnFormula>Table13[[#This Row],[CONSUMPTION Q=(O-N)*P]]+Table13[[#This Row],[IMPORTED ENERGY]]-Table13[[#This Row],[EXPORTED ENERGY]]</calculatedColumnFormula>
    </tableColumn>
    <tableColumn id="23" xr3:uid="{8E10E127-7D16-4F40-9C90-7D0BF7CCD57E}" name="METERED SALES" dataDxfId="30" totalsRowDxfId="29"/>
    <tableColumn id="24" xr3:uid="{16BE4B35-A1E6-4695-A578-73D25BD9262D}" name="UNMETERED SALES" dataDxfId="28" totalsRowDxfId="27"/>
    <tableColumn id="25" xr3:uid="{E6C4EB6D-05C3-4A96-ABA3-C45E459DF318}" name="TOTAL SALES W=U+V" dataDxfId="26" totalsRowDxfId="25"/>
    <tableColumn id="34" xr3:uid="{A1063D37-4D24-421E-AF72-3B3FFEEEF3F3}" name="Column1" dataDxfId="24" totalsRowDxfId="23">
      <calculatedColumnFormula>(Table13[[#This Row],[NET CONSUMPTION T=Q+R-S]]-Table13[[#This Row],[TOTAL SALES W=U+V]])/Table13[[#This Row],[NET CONSUMPTION T=Q+R-S]]*100</calculatedColumnFormula>
    </tableColumn>
    <tableColumn id="26" xr3:uid="{10C56CD2-81DF-4CF2-9EAD-240F99081B27}" name="T AND D LOSS X=(T-W/T)*100"/>
    <tableColumn id="27" xr3:uid="{F5985F79-0FB3-4380-BA58-26D7E3582F74}" name="DEMAND"/>
    <tableColumn id="28" xr3:uid="{AD0F21C4-EE9C-4C93-A3AA-5B09007F04E4}" name="COLLECTION"/>
    <tableColumn id="29" xr3:uid="{AB16B856-75B6-4D86-A815-87A9C8661FA9}" name="BILLING EFFICIENCY AA=W/T"/>
    <tableColumn id="30" xr3:uid="{FDA988D8-C610-4E83-8162-6CF96885F9FD}" name="COLLECTION EFFICIENCY AB=Z/Y"/>
    <tableColumn id="31" xr3:uid="{C4EE4BD6-68D9-4C80-93A9-45B792AFAA87}" name="AT AND C LOSS AC=((1-AA*AB)*100"/>
    <tableColumn id="32" xr3:uid="{A1D75B25-590B-4BC0-820E-8C2412786D74}" name="REMARKS"/>
    <tableColumn id="33" xr3:uid="{A8DFD676-D44A-4C12-BCAA-63F21898A9D5}" name="STATUS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8FD44D22-37B8-4E0A-AF21-5CD041C56455}" name="Table134" displayName="Table134" ref="A8:AH21" totalsRowCount="1" headerRowDxfId="22">
  <autoFilter ref="A8:AH20" xr:uid="{00000000-000C-0000-FFFF-FFFF00000000}"/>
  <sortState xmlns:xlrd2="http://schemas.microsoft.com/office/spreadsheetml/2017/richdata2" ref="A9:AH20">
    <sortCondition ref="E8:E20"/>
  </sortState>
  <tableColumns count="34">
    <tableColumn id="1" xr3:uid="{739E40E4-22A7-4040-AAD7-01669321D63D}" name="SLNO"/>
    <tableColumn id="2" xr3:uid="{97595366-35D3-42BA-9215-2255C659A9CA}" name="CIRCLE"/>
    <tableColumn id="3" xr3:uid="{5FBFF9F0-5CB5-4481-8DD4-C6955A5DD0A4}" name="DIVISION"/>
    <tableColumn id="4" xr3:uid="{689517B1-5518-40F5-BDBA-E240A65BDBDE}" name="SUB DIVISION"/>
    <tableColumn id="5" xr3:uid="{2D392231-C1F1-4782-9A1C-877157ED8928}" name="STATION NAME"/>
    <tableColumn id="6" xr3:uid="{60303499-3769-4F2F-9B05-3306324E773F}" name="FEEDER OWNER"/>
    <tableColumn id="7" xr3:uid="{4F6F1390-2C18-4F5F-BC54-1E25F2456BAB}" name="FEEDER INDEX"/>
    <tableColumn id="8" xr3:uid="{4C18A86C-7B8A-40DA-A279-40CDCCBB09FF}" name="FEEDER NAME"/>
    <tableColumn id="9" xr3:uid="{01E1FCD1-A008-4125-8ABE-B45773DFFB50}" name="FEEDER TYPE"/>
    <tableColumn id="10" xr3:uid="{DC226D42-CD37-457C-B9BA-82E81FD3BDE8}" name="FEEDER CODE"/>
    <tableColumn id="11" xr3:uid="{2052DE0B-D092-4FC9-BA33-BEC19A9393BB}" name="NO OF INS"/>
    <tableColumn id="12" xr3:uid="{260024EE-3A43-4C34-82DD-9C4AE223019E}" name="NO OF ACTIVE INS"/>
    <tableColumn id="13" xr3:uid="{46A60628-53EE-4E69-8D3D-0CAC5F226349}" name="NO OF INACTIVE INS"/>
    <tableColumn id="14" xr3:uid="{A906EA35-F500-4F84-AD44-47FB7107316C}" name="IP SET INSTALLATION"/>
    <tableColumn id="15" xr3:uid="{EFCA9ED2-D4AC-4A4F-88E9-3BC16D6C335C}" name="IP_UNBILLED"/>
    <tableColumn id="16" xr3:uid="{E8296783-2D3D-4CA2-BFEE-F613A1F1ED82}" name="IR"/>
    <tableColumn id="17" xr3:uid="{15347D1B-43C5-4C87-88F6-2B40EC821807}" name="FR"/>
    <tableColumn id="18" xr3:uid="{C5A5340C-1069-4A4E-A906-82168E3B4FB4}" name="MC"/>
    <tableColumn id="19" xr3:uid="{37306BFB-0443-4953-9766-AB2795CF14EC}" name="CONSUMPTION Q=(O-N)*P"/>
    <tableColumn id="20" xr3:uid="{F0F25A66-7EBB-463B-9705-20D8B9726045}" name="IMPORTED ENERGY" totalsRowFunction="sum" dataDxfId="21" totalsRowDxfId="20"/>
    <tableColumn id="21" xr3:uid="{4EDB1648-1ADA-4943-A608-B554B759C37C}" name="EXPORTED ENERGY" totalsRowFunction="sum" dataDxfId="19" totalsRowDxfId="18"/>
    <tableColumn id="22" xr3:uid="{D3EF445E-B2D6-4BC8-8DF5-F05DF7DEC035}" name="NET CONSUMPTION T=Q+R-S" dataDxfId="17" totalsRowDxfId="16">
      <calculatedColumnFormula>Table134[[#This Row],[CONSUMPTION Q=(O-N)*P]]+Table134[[#This Row],[IMPORTED ENERGY]]-Table134[[#This Row],[EXPORTED ENERGY]]</calculatedColumnFormula>
    </tableColumn>
    <tableColumn id="23" xr3:uid="{710DCD79-4029-454B-B333-1407E12CFF4D}" name="METERED SALES" dataDxfId="15" totalsRowDxfId="14"/>
    <tableColumn id="24" xr3:uid="{53F2B1D6-6690-4202-9382-664CB6963F05}" name="UNMETERED SALES" dataDxfId="13" totalsRowDxfId="12"/>
    <tableColumn id="25" xr3:uid="{5EBD4FB5-4949-4D4E-925F-D541FB6CF119}" name="TOTAL SALES W=U+V" dataDxfId="11" totalsRowDxfId="10"/>
    <tableColumn id="34" xr3:uid="{8554E91B-4E6A-4EBD-AE1B-AE83C1403FE8}" name="Column1" dataDxfId="9" totalsRowDxfId="8">
      <calculatedColumnFormula>(Table134[[#This Row],[NET CONSUMPTION T=Q+R-S]]-Table134[[#This Row],[TOTAL SALES W=U+V]])/Table134[[#This Row],[NET CONSUMPTION T=Q+R-S]]*100</calculatedColumnFormula>
    </tableColumn>
    <tableColumn id="26" xr3:uid="{C69E483D-C175-4ECC-9E8A-470EA639D6CA}" name="T AND D LOSS X=(T-W/T)*100"/>
    <tableColumn id="27" xr3:uid="{50B9E3D8-EA57-4D04-8842-9464E3B1EDA1}" name="DEMAND"/>
    <tableColumn id="28" xr3:uid="{A50C6C77-35B7-4D49-820D-5FE06453D6D6}" name="COLLECTION"/>
    <tableColumn id="29" xr3:uid="{945DBD76-982A-4D35-A55B-1327C9490973}" name="BILLING EFFICIENCY AA=W/T"/>
    <tableColumn id="30" xr3:uid="{C73CA4C2-8D67-434C-B677-3117B48F58C9}" name="COLLECTION EFFICIENCY AB=Z/Y"/>
    <tableColumn id="31" xr3:uid="{DC2E9B28-9B2C-477D-9F04-9FA942FB2DE1}" name="AT AND C LOSS AC=((1-AA*AB)*100"/>
    <tableColumn id="32" xr3:uid="{55969E30-A17C-47FC-9BC4-45801A4A30EF}" name="REMARKS"/>
    <tableColumn id="33" xr3:uid="{CED01305-8E3E-4841-9105-1352CCC28B31}" name="STATUS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D6BF21E7-6450-4F0F-8FDB-40D3FB46CFB4}" name="Table15" displayName="Table15" ref="A8:AH9" totalsRowShown="0" headerRowDxfId="7">
  <autoFilter ref="A8:AH9" xr:uid="{00000000-000C-0000-FFFF-FFFF00000000}"/>
  <sortState xmlns:xlrd2="http://schemas.microsoft.com/office/spreadsheetml/2017/richdata2" ref="A9:AH9">
    <sortCondition ref="E8:E9"/>
  </sortState>
  <tableColumns count="34">
    <tableColumn id="1" xr3:uid="{8C79DC16-3AFC-4DF3-BEC3-07881475806F}" name="SLNO"/>
    <tableColumn id="2" xr3:uid="{1E40C1B2-FB23-433F-8734-5CCB8B2C8F8C}" name="CIRCLE"/>
    <tableColumn id="3" xr3:uid="{E5E014F3-6BB0-4493-AD2E-ADC5BA02A097}" name="DIVISION"/>
    <tableColumn id="4" xr3:uid="{902B2DF9-E5EC-4087-BEB2-425392F6A39B}" name="SUB DIVISION"/>
    <tableColumn id="5" xr3:uid="{BE2C1B73-85E6-42AF-B12E-0730D8CE2906}" name="STATION NAME"/>
    <tableColumn id="6" xr3:uid="{9D3A37F3-CD32-48BC-B2D1-B9BAB3FF0EC2}" name="FEEDER OWNER"/>
    <tableColumn id="7" xr3:uid="{011247F5-F5EE-43A3-BB6B-D2078FFFAA75}" name="FEEDER INDEX"/>
    <tableColumn id="8" xr3:uid="{E5B1710B-5ADB-40D4-801D-2F3C52233D5C}" name="FEEDER NAME"/>
    <tableColumn id="9" xr3:uid="{C78770BD-159B-44DB-9E9F-5EB4CF7F598C}" name="FEEDER TYPE"/>
    <tableColumn id="10" xr3:uid="{FA2CA469-B9AA-4299-A074-CD28AF0588D5}" name="FEEDER CODE"/>
    <tableColumn id="11" xr3:uid="{04242073-6F33-4113-934E-ED7E6543E201}" name="NO OF INS"/>
    <tableColumn id="12" xr3:uid="{65B8445F-142A-4D6D-A727-C8540106B30E}" name="NO OF ACTIVE INS"/>
    <tableColumn id="13" xr3:uid="{BD7BD713-87D7-4C1A-B74A-C10A162D4B24}" name="NO OF INACTIVE INS"/>
    <tableColumn id="14" xr3:uid="{158E3E42-5ED6-48AF-AF7D-6A739BA56C3F}" name="IP SET INSTALLATION"/>
    <tableColumn id="15" xr3:uid="{E4786F83-D88C-4040-A8D2-64B780CF6FCA}" name="IP_UNBILLED"/>
    <tableColumn id="16" xr3:uid="{83535F0B-2A91-44CA-A8CF-0B86C63E80FF}" name="IR"/>
    <tableColumn id="17" xr3:uid="{1111FC96-7C5B-4096-8109-95F19BCFDC28}" name="FR"/>
    <tableColumn id="18" xr3:uid="{456CA73E-D6BA-404F-8BE7-9944EF9ECE3D}" name="MC"/>
    <tableColumn id="19" xr3:uid="{633E4A39-E352-4838-9CDB-44F71C4564D8}" name="CONSUMPTION Q=(O-N)*P"/>
    <tableColumn id="20" xr3:uid="{64EED358-5E7B-45C2-A928-50ECE3A58BCF}" name="IMPORTED ENERGY" dataDxfId="6"/>
    <tableColumn id="21" xr3:uid="{161AB58B-08C7-4EB0-83EF-246F9DE7CFF4}" name="EXPORTED ENERGY" dataDxfId="5"/>
    <tableColumn id="22" xr3:uid="{EE33A277-EB79-4F87-9FA3-6181237C168A}" name="NET CONSUMPTION T=Q+R-S" dataDxfId="4">
      <calculatedColumnFormula>Table15[[#This Row],[CONSUMPTION Q=(O-N)*P]]+Table15[[#This Row],[IMPORTED ENERGY]]-Table15[[#This Row],[EXPORTED ENERGY]]</calculatedColumnFormula>
    </tableColumn>
    <tableColumn id="23" xr3:uid="{2602811E-2155-4583-A68C-20499A941724}" name="METERED SALES" dataDxfId="3"/>
    <tableColumn id="24" xr3:uid="{620450A9-EE1C-430E-912A-9C3B789925EC}" name="UNMETERED SALES" dataDxfId="2"/>
    <tableColumn id="25" xr3:uid="{737855C5-0703-44A9-BD79-D385125E23FF}" name="TOTAL SALES W=U+V" dataDxfId="1"/>
    <tableColumn id="34" xr3:uid="{9EC43E55-FFDF-48E0-BF6C-8F827E029A63}" name="Column1" dataDxfId="0">
      <calculatedColumnFormula>(Table15[[#This Row],[NET CONSUMPTION T=Q+R-S]]-Table15[[#This Row],[TOTAL SALES W=U+V]])/Table15[[#This Row],[NET CONSUMPTION T=Q+R-S]]*100</calculatedColumnFormula>
    </tableColumn>
    <tableColumn id="26" xr3:uid="{1C246550-8E0F-45B8-B2C2-02D2032E0684}" name="T AND D LOSS X=(T-W/T)*100"/>
    <tableColumn id="27" xr3:uid="{D833C5D6-2C95-4BA0-8337-D7350085DD8C}" name="DEMAND"/>
    <tableColumn id="28" xr3:uid="{C5BB0BDC-5CB7-44A2-A96A-9910605D1D79}" name="COLLECTION"/>
    <tableColumn id="29" xr3:uid="{3BBDB5E5-4377-4DAE-8472-54C9C7F60C31}" name="BILLING EFFICIENCY AA=W/T"/>
    <tableColumn id="30" xr3:uid="{BB910CE2-9D51-4B49-8D18-6D8F70CCFBDF}" name="COLLECTION EFFICIENCY AB=Z/Y"/>
    <tableColumn id="31" xr3:uid="{A707747C-6A20-4CFB-A16B-EF7379D8B862}" name="AT AND C LOSS AC=((1-AA*AB)*100"/>
    <tableColumn id="32" xr3:uid="{0FB07E94-CEA7-46A1-8670-EC11048B32B5}" name="REMARKS"/>
    <tableColumn id="33" xr3:uid="{5E2E9823-60F3-4A7E-8D8B-2563712CC34E}" name="STATUS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62"/>
  <sheetViews>
    <sheetView topLeftCell="I37" workbookViewId="0">
      <selection activeCell="X67" sqref="X67"/>
    </sheetView>
  </sheetViews>
  <sheetFormatPr defaultRowHeight="15" x14ac:dyDescent="0.25"/>
  <cols>
    <col min="1" max="1" width="9.140625" customWidth="1"/>
    <col min="2" max="3" width="20.7109375" customWidth="1"/>
    <col min="4" max="4" width="16.28515625" customWidth="1"/>
    <col min="5" max="5" width="22.7109375" customWidth="1"/>
    <col min="6" max="6" width="18.28515625" hidden="1" customWidth="1"/>
    <col min="7" max="7" width="16.7109375" hidden="1" customWidth="1"/>
    <col min="8" max="8" width="28" customWidth="1"/>
    <col min="9" max="9" width="15.5703125" customWidth="1"/>
    <col min="10" max="10" width="18.5703125" customWidth="1"/>
    <col min="11" max="11" width="6.5703125" hidden="1" customWidth="1"/>
    <col min="12" max="12" width="20" hidden="1" customWidth="1"/>
    <col min="13" max="13" width="21.85546875" hidden="1" customWidth="1"/>
    <col min="14" max="14" width="22.42578125" hidden="1" customWidth="1"/>
    <col min="15" max="15" width="15.7109375" hidden="1" customWidth="1"/>
    <col min="16" max="16" width="9.140625" customWidth="1"/>
    <col min="17" max="17" width="12" customWidth="1"/>
    <col min="18" max="18" width="7.42578125" customWidth="1"/>
    <col min="19" max="19" width="13.5703125" customWidth="1"/>
    <col min="20" max="20" width="10.42578125" style="9" customWidth="1"/>
    <col min="21" max="21" width="13.140625" style="9" customWidth="1"/>
    <col min="22" max="22" width="16.5703125" style="5" customWidth="1"/>
    <col min="23" max="23" width="8.85546875" style="5" customWidth="1"/>
    <col min="24" max="24" width="11" style="5" customWidth="1"/>
    <col min="25" max="25" width="12.42578125" style="5" customWidth="1"/>
    <col min="26" max="26" width="11.7109375" style="9" customWidth="1"/>
    <col min="27" max="27" width="13.140625" customWidth="1"/>
    <col min="28" max="28" width="14" customWidth="1"/>
    <col min="29" max="29" width="15.28515625" customWidth="1"/>
    <col min="30" max="30" width="29" customWidth="1"/>
    <col min="31" max="31" width="32" customWidth="1"/>
    <col min="32" max="32" width="34.85546875" customWidth="1"/>
    <col min="33" max="33" width="12.85546875" customWidth="1"/>
    <col min="34" max="34" width="11.140625" customWidth="1"/>
  </cols>
  <sheetData>
    <row r="1" spans="1:34" ht="18.75" x14ac:dyDescent="0.3">
      <c r="A1" s="20" t="s">
        <v>0</v>
      </c>
      <c r="B1" s="20" t="s">
        <v>0</v>
      </c>
      <c r="C1" s="20" t="s">
        <v>0</v>
      </c>
      <c r="D1" s="20" t="s">
        <v>0</v>
      </c>
      <c r="E1" s="20" t="s">
        <v>0</v>
      </c>
      <c r="F1" s="20" t="s">
        <v>0</v>
      </c>
      <c r="G1" s="20" t="s">
        <v>0</v>
      </c>
      <c r="H1" s="20" t="s">
        <v>0</v>
      </c>
      <c r="I1" s="20" t="s">
        <v>0</v>
      </c>
      <c r="J1" s="20" t="s">
        <v>0</v>
      </c>
      <c r="K1" s="20" t="s">
        <v>0</v>
      </c>
      <c r="L1" s="20" t="s">
        <v>0</v>
      </c>
      <c r="M1" s="20" t="s">
        <v>0</v>
      </c>
      <c r="N1" s="20" t="s">
        <v>0</v>
      </c>
      <c r="O1" s="20" t="s">
        <v>0</v>
      </c>
      <c r="P1" s="20" t="s">
        <v>0</v>
      </c>
      <c r="Q1" s="20" t="s">
        <v>0</v>
      </c>
      <c r="R1" s="20" t="s">
        <v>0</v>
      </c>
      <c r="S1" s="20" t="s">
        <v>0</v>
      </c>
      <c r="T1" s="20" t="s">
        <v>0</v>
      </c>
      <c r="U1" s="20" t="s">
        <v>0</v>
      </c>
      <c r="V1" s="20" t="s">
        <v>0</v>
      </c>
      <c r="W1" s="20" t="s">
        <v>0</v>
      </c>
      <c r="X1" s="20" t="s">
        <v>0</v>
      </c>
      <c r="Y1" s="20" t="s">
        <v>0</v>
      </c>
      <c r="Z1" s="20"/>
      <c r="AA1" s="20" t="s">
        <v>0</v>
      </c>
      <c r="AB1" s="20" t="s">
        <v>0</v>
      </c>
      <c r="AC1" s="20" t="s">
        <v>0</v>
      </c>
      <c r="AD1" s="20" t="s">
        <v>0</v>
      </c>
      <c r="AE1" s="20" t="s">
        <v>0</v>
      </c>
      <c r="AF1" s="20" t="s">
        <v>0</v>
      </c>
      <c r="AG1" s="20" t="s">
        <v>0</v>
      </c>
    </row>
    <row r="2" spans="1:34" ht="18.75" x14ac:dyDescent="0.3">
      <c r="A2" s="20" t="s">
        <v>1</v>
      </c>
      <c r="B2" s="20" t="s">
        <v>1</v>
      </c>
      <c r="C2" s="20" t="s">
        <v>1</v>
      </c>
      <c r="D2" s="20" t="s">
        <v>1</v>
      </c>
      <c r="E2" s="20" t="s">
        <v>1</v>
      </c>
      <c r="F2" s="20" t="s">
        <v>1</v>
      </c>
      <c r="G2" s="20" t="s">
        <v>1</v>
      </c>
      <c r="H2" s="20" t="s">
        <v>1</v>
      </c>
      <c r="I2" s="20" t="s">
        <v>1</v>
      </c>
      <c r="J2" s="20" t="s">
        <v>1</v>
      </c>
      <c r="K2" s="20" t="s">
        <v>1</v>
      </c>
      <c r="L2" s="20" t="s">
        <v>1</v>
      </c>
      <c r="M2" s="20" t="s">
        <v>1</v>
      </c>
      <c r="N2" s="20" t="s">
        <v>1</v>
      </c>
      <c r="O2" s="20" t="s">
        <v>1</v>
      </c>
      <c r="P2" s="20" t="s">
        <v>1</v>
      </c>
      <c r="Q2" s="20" t="s">
        <v>1</v>
      </c>
      <c r="R2" s="20" t="s">
        <v>1</v>
      </c>
      <c r="S2" s="20" t="s">
        <v>1</v>
      </c>
      <c r="T2" s="20" t="s">
        <v>1</v>
      </c>
      <c r="U2" s="20" t="s">
        <v>1</v>
      </c>
      <c r="V2" s="20" t="s">
        <v>1</v>
      </c>
      <c r="W2" s="20" t="s">
        <v>1</v>
      </c>
      <c r="X2" s="20" t="s">
        <v>1</v>
      </c>
      <c r="Y2" s="20" t="s">
        <v>1</v>
      </c>
      <c r="Z2" s="20"/>
      <c r="AA2" s="20" t="s">
        <v>1</v>
      </c>
      <c r="AB2" s="20" t="s">
        <v>1</v>
      </c>
      <c r="AC2" s="20" t="s">
        <v>1</v>
      </c>
      <c r="AD2" s="20" t="s">
        <v>1</v>
      </c>
      <c r="AE2" s="20" t="s">
        <v>1</v>
      </c>
      <c r="AF2" s="20" t="s">
        <v>1</v>
      </c>
      <c r="AG2" s="20" t="s">
        <v>1</v>
      </c>
    </row>
    <row r="3" spans="1:34" ht="18.75" x14ac:dyDescent="0.3">
      <c r="A3" s="20" t="s">
        <v>2</v>
      </c>
      <c r="B3" s="20" t="s">
        <v>2</v>
      </c>
      <c r="C3" s="20" t="s">
        <v>2</v>
      </c>
      <c r="D3" s="20" t="s">
        <v>2</v>
      </c>
      <c r="E3" s="20" t="s">
        <v>2</v>
      </c>
      <c r="F3" s="20" t="s">
        <v>2</v>
      </c>
      <c r="G3" s="20" t="s">
        <v>2</v>
      </c>
      <c r="H3" s="20" t="s">
        <v>2</v>
      </c>
      <c r="I3" s="20" t="s">
        <v>2</v>
      </c>
      <c r="J3" s="20" t="s">
        <v>2</v>
      </c>
      <c r="K3" s="20" t="s">
        <v>2</v>
      </c>
      <c r="L3" s="20" t="s">
        <v>2</v>
      </c>
      <c r="M3" s="20" t="s">
        <v>2</v>
      </c>
      <c r="N3" s="20" t="s">
        <v>2</v>
      </c>
      <c r="O3" s="20" t="s">
        <v>2</v>
      </c>
      <c r="P3" s="20" t="s">
        <v>2</v>
      </c>
      <c r="Q3" s="20" t="s">
        <v>2</v>
      </c>
      <c r="R3" s="20" t="s">
        <v>2</v>
      </c>
      <c r="S3" s="20" t="s">
        <v>2</v>
      </c>
      <c r="T3" s="20" t="s">
        <v>2</v>
      </c>
      <c r="U3" s="20" t="s">
        <v>2</v>
      </c>
      <c r="V3" s="20" t="s">
        <v>2</v>
      </c>
      <c r="W3" s="20" t="s">
        <v>2</v>
      </c>
      <c r="X3" s="20" t="s">
        <v>2</v>
      </c>
      <c r="Y3" s="20" t="s">
        <v>2</v>
      </c>
      <c r="Z3" s="20"/>
      <c r="AA3" s="20" t="s">
        <v>2</v>
      </c>
      <c r="AB3" s="20" t="s">
        <v>2</v>
      </c>
      <c r="AC3" s="20" t="s">
        <v>2</v>
      </c>
      <c r="AD3" s="20" t="s">
        <v>2</v>
      </c>
      <c r="AE3" s="20" t="s">
        <v>2</v>
      </c>
      <c r="AF3" s="20" t="s">
        <v>2</v>
      </c>
      <c r="AG3" s="20" t="s">
        <v>2</v>
      </c>
    </row>
    <row r="4" spans="1:34" x14ac:dyDescent="0.25">
      <c r="A4" s="5"/>
      <c r="B4" s="19" t="s">
        <v>3</v>
      </c>
      <c r="C4" s="21" t="s">
        <v>4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AA4" s="5"/>
      <c r="AB4" s="5"/>
      <c r="AC4" s="5"/>
      <c r="AD4" s="5"/>
      <c r="AE4" s="5"/>
      <c r="AF4" s="5"/>
      <c r="AG4" s="5"/>
    </row>
    <row r="5" spans="1:34" x14ac:dyDescent="0.25">
      <c r="A5" s="5"/>
      <c r="B5" s="19" t="s">
        <v>5</v>
      </c>
      <c r="C5" s="19" t="s">
        <v>6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AA5" s="5"/>
      <c r="AB5" s="5"/>
      <c r="AC5" s="5"/>
      <c r="AD5" s="5"/>
      <c r="AE5" s="5"/>
      <c r="AF5" s="5"/>
      <c r="AG5" s="5"/>
    </row>
    <row r="6" spans="1:34" x14ac:dyDescent="0.25">
      <c r="A6" s="6"/>
      <c r="B6" s="6"/>
      <c r="C6" s="6"/>
      <c r="D6" s="6"/>
      <c r="E6" s="6"/>
      <c r="F6" s="6"/>
      <c r="G6" s="6"/>
      <c r="H6" s="6"/>
      <c r="I6" s="17" t="s">
        <v>7</v>
      </c>
      <c r="J6" s="18" t="s">
        <v>8</v>
      </c>
      <c r="K6" s="6"/>
      <c r="L6" s="6"/>
      <c r="M6" s="6"/>
      <c r="N6" s="6"/>
      <c r="O6" s="6"/>
      <c r="P6" s="6"/>
      <c r="Q6" s="6"/>
      <c r="R6" s="6"/>
      <c r="S6" s="6"/>
      <c r="V6" s="12"/>
      <c r="W6" s="12"/>
      <c r="X6" s="12"/>
      <c r="Y6" s="12"/>
      <c r="AA6" s="6"/>
      <c r="AB6" s="6"/>
      <c r="AC6" s="6"/>
      <c r="AD6" s="6"/>
      <c r="AE6" s="6"/>
      <c r="AF6" s="6"/>
      <c r="AG6" s="6"/>
    </row>
    <row r="7" spans="1:34" x14ac:dyDescent="0.25">
      <c r="A7" s="15"/>
      <c r="B7" s="15" t="s">
        <v>9</v>
      </c>
      <c r="C7" s="15" t="s">
        <v>10</v>
      </c>
      <c r="D7" s="15" t="s">
        <v>11</v>
      </c>
      <c r="E7" s="15" t="s">
        <v>12</v>
      </c>
      <c r="F7" s="15" t="s">
        <v>13</v>
      </c>
      <c r="G7" s="15" t="s">
        <v>14</v>
      </c>
      <c r="H7" s="15" t="s">
        <v>15</v>
      </c>
      <c r="I7" s="15" t="s">
        <v>16</v>
      </c>
      <c r="J7" s="15" t="s">
        <v>17</v>
      </c>
      <c r="K7" s="15" t="s">
        <v>18</v>
      </c>
      <c r="L7" s="15" t="s">
        <v>19</v>
      </c>
      <c r="M7" s="15" t="s">
        <v>20</v>
      </c>
      <c r="N7" s="15" t="s">
        <v>21</v>
      </c>
      <c r="O7" s="15" t="s">
        <v>22</v>
      </c>
      <c r="P7" s="15" t="s">
        <v>23</v>
      </c>
      <c r="Q7" s="15" t="s">
        <v>24</v>
      </c>
      <c r="R7" s="15" t="s">
        <v>25</v>
      </c>
      <c r="S7" s="15" t="s">
        <v>26</v>
      </c>
      <c r="T7" s="16" t="s">
        <v>27</v>
      </c>
      <c r="U7" s="16" t="s">
        <v>28</v>
      </c>
      <c r="V7" s="15" t="s">
        <v>29</v>
      </c>
      <c r="W7" s="15" t="s">
        <v>30</v>
      </c>
      <c r="X7" s="15" t="s">
        <v>31</v>
      </c>
      <c r="Y7" s="15" t="s">
        <v>32</v>
      </c>
      <c r="Z7" s="10"/>
      <c r="AA7" s="15" t="s">
        <v>33</v>
      </c>
      <c r="AB7" s="15" t="s">
        <v>34</v>
      </c>
      <c r="AC7" s="15" t="s">
        <v>35</v>
      </c>
      <c r="AD7" s="15" t="s">
        <v>36</v>
      </c>
      <c r="AE7" s="15" t="s">
        <v>37</v>
      </c>
      <c r="AF7" s="15" t="s">
        <v>38</v>
      </c>
      <c r="AG7" s="15" t="s">
        <v>39</v>
      </c>
    </row>
    <row r="8" spans="1:34" s="8" customFormat="1" ht="45" x14ac:dyDescent="0.25">
      <c r="A8" s="8" t="s">
        <v>40</v>
      </c>
      <c r="B8" s="8" t="s">
        <v>41</v>
      </c>
      <c r="C8" s="8" t="s">
        <v>42</v>
      </c>
      <c r="D8" s="8" t="s">
        <v>43</v>
      </c>
      <c r="E8" s="8" t="s">
        <v>44</v>
      </c>
      <c r="F8" s="8" t="s">
        <v>45</v>
      </c>
      <c r="G8" s="8" t="s">
        <v>46</v>
      </c>
      <c r="H8" s="8" t="s">
        <v>47</v>
      </c>
      <c r="I8" s="8" t="s">
        <v>48</v>
      </c>
      <c r="J8" s="8" t="s">
        <v>49</v>
      </c>
      <c r="K8" s="8" t="s">
        <v>50</v>
      </c>
      <c r="L8" s="8" t="s">
        <v>51</v>
      </c>
      <c r="M8" s="8" t="s">
        <v>52</v>
      </c>
      <c r="N8" s="8" t="s">
        <v>53</v>
      </c>
      <c r="O8" s="8" t="s">
        <v>54</v>
      </c>
      <c r="P8" s="8" t="s">
        <v>55</v>
      </c>
      <c r="Q8" s="8" t="s">
        <v>56</v>
      </c>
      <c r="R8" s="8" t="s">
        <v>57</v>
      </c>
      <c r="S8" s="8" t="s">
        <v>58</v>
      </c>
      <c r="T8" s="13" t="s">
        <v>59</v>
      </c>
      <c r="U8" s="13" t="s">
        <v>60</v>
      </c>
      <c r="V8" s="14" t="s">
        <v>61</v>
      </c>
      <c r="W8" s="14" t="s">
        <v>62</v>
      </c>
      <c r="X8" s="14" t="s">
        <v>63</v>
      </c>
      <c r="Y8" s="14" t="s">
        <v>64</v>
      </c>
      <c r="Z8" s="13" t="s">
        <v>190</v>
      </c>
      <c r="AA8" s="8" t="s">
        <v>65</v>
      </c>
      <c r="AB8" s="8" t="s">
        <v>66</v>
      </c>
      <c r="AC8" s="8" t="s">
        <v>67</v>
      </c>
      <c r="AD8" s="8" t="s">
        <v>68</v>
      </c>
      <c r="AE8" s="8" t="s">
        <v>69</v>
      </c>
      <c r="AF8" s="8" t="s">
        <v>70</v>
      </c>
      <c r="AG8" s="8" t="s">
        <v>71</v>
      </c>
      <c r="AH8" s="8" t="s">
        <v>72</v>
      </c>
    </row>
    <row r="9" spans="1:34" x14ac:dyDescent="0.25">
      <c r="A9">
        <v>20</v>
      </c>
      <c r="B9" t="s">
        <v>73</v>
      </c>
      <c r="C9" t="s">
        <v>74</v>
      </c>
      <c r="D9" t="s">
        <v>8</v>
      </c>
      <c r="E9" t="s">
        <v>118</v>
      </c>
      <c r="F9" t="s">
        <v>8</v>
      </c>
      <c r="H9" t="s">
        <v>119</v>
      </c>
      <c r="I9" t="s">
        <v>104</v>
      </c>
      <c r="J9" t="s">
        <v>120</v>
      </c>
      <c r="K9">
        <v>2669</v>
      </c>
      <c r="L9">
        <v>2669</v>
      </c>
      <c r="M9">
        <v>0</v>
      </c>
      <c r="N9">
        <v>156</v>
      </c>
      <c r="O9">
        <v>0</v>
      </c>
      <c r="P9">
        <v>1525.7560000000001</v>
      </c>
      <c r="Q9">
        <v>1567.7249999999999</v>
      </c>
      <c r="R9">
        <v>20000</v>
      </c>
      <c r="S9">
        <v>839380</v>
      </c>
      <c r="T9" s="9">
        <v>0</v>
      </c>
      <c r="U9" s="9">
        <v>206000</v>
      </c>
      <c r="V9" s="5">
        <f>Table1[[#This Row],[CONSUMPTION Q=(O-N)*P]]+Table1[[#This Row],[IMPORTED ENERGY]]-Table1[[#This Row],[EXPORTED ENERGY]]</f>
        <v>633380</v>
      </c>
      <c r="W9" s="5">
        <v>316211.90000000002</v>
      </c>
      <c r="X9" s="5">
        <v>263473.42</v>
      </c>
      <c r="Y9" s="5">
        <v>579685.31999999995</v>
      </c>
      <c r="Z9" s="11">
        <f>(Table1[[#This Row],[NET CONSUMPTION T=Q+R-S]]-Table1[[#This Row],[TOTAL SALES W=U+V]])/Table1[[#This Row],[NET CONSUMPTION T=Q+R-S]]*100</f>
        <v>8.4774827118001905</v>
      </c>
      <c r="AA9">
        <v>30.94</v>
      </c>
      <c r="AB9">
        <v>4768260.33</v>
      </c>
      <c r="AC9">
        <v>4125336.4</v>
      </c>
      <c r="AD9">
        <v>0.69059999999999999</v>
      </c>
      <c r="AE9">
        <v>0.86519999999999997</v>
      </c>
      <c r="AF9">
        <v>26.77</v>
      </c>
    </row>
    <row r="10" spans="1:34" x14ac:dyDescent="0.25">
      <c r="A10">
        <v>21</v>
      </c>
      <c r="B10" t="s">
        <v>73</v>
      </c>
      <c r="C10" t="s">
        <v>74</v>
      </c>
      <c r="D10" t="s">
        <v>8</v>
      </c>
      <c r="E10" t="s">
        <v>118</v>
      </c>
      <c r="F10" t="s">
        <v>8</v>
      </c>
      <c r="H10" t="s">
        <v>121</v>
      </c>
      <c r="I10" t="s">
        <v>77</v>
      </c>
      <c r="J10" t="s">
        <v>122</v>
      </c>
      <c r="K10">
        <v>492</v>
      </c>
      <c r="L10">
        <v>492</v>
      </c>
      <c r="M10">
        <v>0</v>
      </c>
      <c r="N10">
        <v>480</v>
      </c>
      <c r="O10">
        <v>0</v>
      </c>
      <c r="P10">
        <v>853.45</v>
      </c>
      <c r="Q10">
        <v>877.52800000000002</v>
      </c>
      <c r="R10">
        <v>30000</v>
      </c>
      <c r="S10">
        <v>722340</v>
      </c>
      <c r="T10" s="9">
        <v>200000</v>
      </c>
      <c r="U10" s="9">
        <v>0</v>
      </c>
      <c r="V10" s="5">
        <f>Table1[[#This Row],[CONSUMPTION Q=(O-N)*P]]+Table1[[#This Row],[IMPORTED ENERGY]]-Table1[[#This Row],[EXPORTED ENERGY]]</f>
        <v>922340</v>
      </c>
      <c r="W10" s="5">
        <v>256</v>
      </c>
      <c r="X10" s="5">
        <v>834528.51199999999</v>
      </c>
      <c r="Y10" s="5">
        <v>834784.51199999999</v>
      </c>
      <c r="Z10" s="11">
        <f>(Table1[[#This Row],[NET CONSUMPTION T=Q+R-S]]-Table1[[#This Row],[TOTAL SALES W=U+V]])/Table1[[#This Row],[NET CONSUMPTION T=Q+R-S]]*100</f>
        <v>9.4927562504065754</v>
      </c>
      <c r="AA10">
        <v>9.49</v>
      </c>
      <c r="AB10">
        <v>4903855.9400000004</v>
      </c>
      <c r="AC10">
        <v>4900312.9400000004</v>
      </c>
      <c r="AD10">
        <v>0.90510000000000002</v>
      </c>
      <c r="AE10">
        <v>0.99929999999999997</v>
      </c>
      <c r="AF10">
        <v>9.48</v>
      </c>
    </row>
    <row r="11" spans="1:34" x14ac:dyDescent="0.25">
      <c r="A11">
        <v>22</v>
      </c>
      <c r="B11" t="s">
        <v>73</v>
      </c>
      <c r="C11" t="s">
        <v>74</v>
      </c>
      <c r="D11" t="s">
        <v>8</v>
      </c>
      <c r="E11" t="s">
        <v>118</v>
      </c>
      <c r="F11" t="s">
        <v>8</v>
      </c>
      <c r="H11" t="s">
        <v>123</v>
      </c>
      <c r="I11" t="s">
        <v>77</v>
      </c>
      <c r="J11" t="s">
        <v>124</v>
      </c>
      <c r="K11">
        <v>372</v>
      </c>
      <c r="L11">
        <v>372</v>
      </c>
      <c r="M11">
        <v>0</v>
      </c>
      <c r="N11">
        <v>370</v>
      </c>
      <c r="O11">
        <v>0</v>
      </c>
      <c r="P11">
        <v>960.18700000000001</v>
      </c>
      <c r="Q11">
        <v>985.54399999999998</v>
      </c>
      <c r="R11">
        <v>20000</v>
      </c>
      <c r="S11">
        <v>507140</v>
      </c>
      <c r="T11" s="9">
        <v>200000</v>
      </c>
      <c r="U11" s="9">
        <v>0</v>
      </c>
      <c r="V11" s="5">
        <f>Table1[[#This Row],[CONSUMPTION Q=(O-N)*P]]+Table1[[#This Row],[IMPORTED ENERGY]]-Table1[[#This Row],[EXPORTED ENERGY]]</f>
        <v>707140</v>
      </c>
      <c r="W11" s="5">
        <v>25</v>
      </c>
      <c r="X11" s="5">
        <v>682464.04399999999</v>
      </c>
      <c r="Y11" s="5">
        <v>682489.04399999999</v>
      </c>
      <c r="Z11" s="11">
        <f>(Table1[[#This Row],[NET CONSUMPTION T=Q+R-S]]-Table1[[#This Row],[TOTAL SALES W=U+V]])/Table1[[#This Row],[NET CONSUMPTION T=Q+R-S]]*100</f>
        <v>3.486007862658032</v>
      </c>
      <c r="AA11">
        <v>9.86</v>
      </c>
      <c r="AB11">
        <v>4006469.41</v>
      </c>
      <c r="AC11">
        <v>4006462.41</v>
      </c>
      <c r="AD11">
        <v>0.90139999999999998</v>
      </c>
      <c r="AE11">
        <v>1</v>
      </c>
      <c r="AF11">
        <v>9.86</v>
      </c>
    </row>
    <row r="12" spans="1:34" x14ac:dyDescent="0.25">
      <c r="A12">
        <v>23</v>
      </c>
      <c r="B12" t="s">
        <v>73</v>
      </c>
      <c r="C12" t="s">
        <v>74</v>
      </c>
      <c r="D12" t="s">
        <v>8</v>
      </c>
      <c r="E12" t="s">
        <v>118</v>
      </c>
      <c r="F12" t="s">
        <v>8</v>
      </c>
      <c r="H12" t="s">
        <v>125</v>
      </c>
      <c r="I12" t="s">
        <v>77</v>
      </c>
      <c r="J12" t="s">
        <v>126</v>
      </c>
      <c r="K12">
        <v>282</v>
      </c>
      <c r="L12">
        <v>282</v>
      </c>
      <c r="M12">
        <v>0</v>
      </c>
      <c r="N12">
        <v>281</v>
      </c>
      <c r="O12">
        <v>0</v>
      </c>
      <c r="P12">
        <v>342.69600000000003</v>
      </c>
      <c r="Q12">
        <v>366.67099999999999</v>
      </c>
      <c r="R12">
        <v>20000</v>
      </c>
      <c r="S12">
        <v>479500</v>
      </c>
      <c r="T12" s="9">
        <v>58000</v>
      </c>
      <c r="U12" s="9">
        <v>0</v>
      </c>
      <c r="V12" s="5">
        <f>Table1[[#This Row],[CONSUMPTION Q=(O-N)*P]]+Table1[[#This Row],[IMPORTED ENERGY]]-Table1[[#This Row],[EXPORTED ENERGY]]</f>
        <v>537500</v>
      </c>
      <c r="W12" s="5">
        <v>1</v>
      </c>
      <c r="X12" s="5">
        <v>518971.24599999998</v>
      </c>
      <c r="Y12" s="5">
        <v>518972.24599999998</v>
      </c>
      <c r="Z12" s="11">
        <f>(Table1[[#This Row],[NET CONSUMPTION T=Q+R-S]]-Table1[[#This Row],[TOTAL SALES W=U+V]])/Table1[[#This Row],[NET CONSUMPTION T=Q+R-S]]*100</f>
        <v>3.4470240000000025</v>
      </c>
      <c r="AA12">
        <v>10.44</v>
      </c>
      <c r="AB12">
        <v>3046491.61</v>
      </c>
      <c r="AC12">
        <v>3046360.61</v>
      </c>
      <c r="AD12">
        <v>0.89559999999999995</v>
      </c>
      <c r="AE12">
        <v>1</v>
      </c>
      <c r="AF12">
        <v>10.44</v>
      </c>
    </row>
    <row r="13" spans="1:34" x14ac:dyDescent="0.25">
      <c r="A13">
        <v>24</v>
      </c>
      <c r="B13" t="s">
        <v>73</v>
      </c>
      <c r="C13" t="s">
        <v>74</v>
      </c>
      <c r="D13" t="s">
        <v>8</v>
      </c>
      <c r="E13" t="s">
        <v>118</v>
      </c>
      <c r="F13" t="s">
        <v>8</v>
      </c>
      <c r="H13" t="s">
        <v>127</v>
      </c>
      <c r="I13" t="s">
        <v>128</v>
      </c>
      <c r="J13" t="s">
        <v>129</v>
      </c>
      <c r="K13">
        <v>697</v>
      </c>
      <c r="L13">
        <v>697</v>
      </c>
      <c r="M13">
        <v>0</v>
      </c>
      <c r="N13">
        <v>0</v>
      </c>
      <c r="O13">
        <v>0</v>
      </c>
      <c r="P13">
        <v>1747.972</v>
      </c>
      <c r="Q13">
        <v>1782.7280000000001</v>
      </c>
      <c r="R13">
        <v>20000</v>
      </c>
      <c r="S13">
        <v>695120</v>
      </c>
      <c r="T13" s="9">
        <v>228259.5</v>
      </c>
      <c r="U13" s="9">
        <v>0</v>
      </c>
      <c r="V13" s="5">
        <f>Table1[[#This Row],[CONSUMPTION Q=(O-N)*P]]+Table1[[#This Row],[IMPORTED ENERGY]]-Table1[[#This Row],[EXPORTED ENERGY]]</f>
        <v>923379.5</v>
      </c>
      <c r="W13" s="5">
        <v>849768.65</v>
      </c>
      <c r="X13" s="5">
        <v>0</v>
      </c>
      <c r="Y13" s="5">
        <v>849768.65</v>
      </c>
      <c r="Z13" s="11">
        <f>(Table1[[#This Row],[NET CONSUMPTION T=Q+R-S]]-Table1[[#This Row],[TOTAL SALES W=U+V]])/Table1[[#This Row],[NET CONSUMPTION T=Q+R-S]]*100</f>
        <v>7.9718956290452603</v>
      </c>
      <c r="AA13">
        <v>-22.25</v>
      </c>
      <c r="AB13">
        <v>8610932.6699999999</v>
      </c>
      <c r="AC13">
        <v>5283403.8899999997</v>
      </c>
      <c r="AD13">
        <v>1.2224999999999999</v>
      </c>
      <c r="AE13">
        <v>0.61360000000000003</v>
      </c>
      <c r="AF13">
        <v>-13.65</v>
      </c>
    </row>
    <row r="14" spans="1:34" x14ac:dyDescent="0.25">
      <c r="A14">
        <v>25</v>
      </c>
      <c r="B14" t="s">
        <v>73</v>
      </c>
      <c r="C14" t="s">
        <v>74</v>
      </c>
      <c r="D14" t="s">
        <v>8</v>
      </c>
      <c r="E14" t="s">
        <v>118</v>
      </c>
      <c r="F14" t="s">
        <v>8</v>
      </c>
      <c r="H14" t="s">
        <v>130</v>
      </c>
      <c r="I14" t="s">
        <v>77</v>
      </c>
      <c r="J14" t="s">
        <v>131</v>
      </c>
      <c r="K14">
        <v>461</v>
      </c>
      <c r="L14">
        <v>461</v>
      </c>
      <c r="M14">
        <v>0</v>
      </c>
      <c r="N14">
        <v>448</v>
      </c>
      <c r="O14">
        <v>0</v>
      </c>
      <c r="P14">
        <v>106.658</v>
      </c>
      <c r="Q14">
        <v>128.51599999999999</v>
      </c>
      <c r="R14">
        <v>30000</v>
      </c>
      <c r="S14">
        <v>655740</v>
      </c>
      <c r="T14" s="9">
        <v>94000</v>
      </c>
      <c r="U14" s="9">
        <v>0</v>
      </c>
      <c r="V14" s="5">
        <f>Table1[[#This Row],[CONSUMPTION Q=(O-N)*P]]+Table1[[#This Row],[IMPORTED ENERGY]]-Table1[[#This Row],[EXPORTED ENERGY]]</f>
        <v>749740</v>
      </c>
      <c r="W14" s="5">
        <v>321</v>
      </c>
      <c r="X14" s="5">
        <v>678191.88800000004</v>
      </c>
      <c r="Y14" s="5">
        <v>678512.88800000004</v>
      </c>
      <c r="Z14" s="11">
        <f>(Table1[[#This Row],[NET CONSUMPTION T=Q+R-S]]-Table1[[#This Row],[TOTAL SALES W=U+V]])/Table1[[#This Row],[NET CONSUMPTION T=Q+R-S]]*100</f>
        <v>9.5002416837837078</v>
      </c>
      <c r="AA14">
        <v>9.5</v>
      </c>
      <c r="AB14">
        <v>3985273.36</v>
      </c>
      <c r="AC14">
        <v>3986228.36</v>
      </c>
      <c r="AD14">
        <v>0.90500000000000003</v>
      </c>
      <c r="AE14">
        <v>1.0002</v>
      </c>
      <c r="AF14">
        <v>9.5</v>
      </c>
    </row>
    <row r="15" spans="1:34" x14ac:dyDescent="0.25">
      <c r="A15">
        <v>26</v>
      </c>
      <c r="B15" t="s">
        <v>73</v>
      </c>
      <c r="C15" t="s">
        <v>74</v>
      </c>
      <c r="D15" t="s">
        <v>8</v>
      </c>
      <c r="E15" t="s">
        <v>118</v>
      </c>
      <c r="F15" t="s">
        <v>8</v>
      </c>
      <c r="H15" t="s">
        <v>132</v>
      </c>
      <c r="I15" t="s">
        <v>82</v>
      </c>
      <c r="J15" t="s">
        <v>133</v>
      </c>
      <c r="K15">
        <v>2095</v>
      </c>
      <c r="L15">
        <v>2095</v>
      </c>
      <c r="M15">
        <v>0</v>
      </c>
      <c r="N15">
        <v>0</v>
      </c>
      <c r="O15">
        <v>0</v>
      </c>
      <c r="P15">
        <v>609.66099999999994</v>
      </c>
      <c r="Q15">
        <v>631.36099999999999</v>
      </c>
      <c r="R15">
        <v>20000</v>
      </c>
      <c r="S15">
        <v>434000</v>
      </c>
      <c r="T15" s="9">
        <v>0</v>
      </c>
      <c r="U15" s="9">
        <v>310000</v>
      </c>
      <c r="V15" s="5">
        <f>Table1[[#This Row],[CONSUMPTION Q=(O-N)*P]]+Table1[[#This Row],[IMPORTED ENERGY]]-Table1[[#This Row],[EXPORTED ENERGY]]</f>
        <v>124000</v>
      </c>
      <c r="W15" s="5">
        <v>114930.67</v>
      </c>
      <c r="X15" s="5">
        <v>0</v>
      </c>
      <c r="Y15" s="5">
        <v>114930.67</v>
      </c>
      <c r="Z15" s="11">
        <f>(Table1[[#This Row],[NET CONSUMPTION T=Q+R-S]]-Table1[[#This Row],[TOTAL SALES W=U+V]])/Table1[[#This Row],[NET CONSUMPTION T=Q+R-S]]*100</f>
        <v>7.313975806451614</v>
      </c>
      <c r="AA15">
        <v>-36.82</v>
      </c>
      <c r="AB15">
        <v>1201612.45</v>
      </c>
      <c r="AC15">
        <v>794131.88</v>
      </c>
      <c r="AD15">
        <v>1.3682000000000001</v>
      </c>
      <c r="AE15">
        <v>0.66090000000000004</v>
      </c>
      <c r="AF15">
        <v>-24.33</v>
      </c>
    </row>
    <row r="16" spans="1:34" x14ac:dyDescent="0.25">
      <c r="A16">
        <v>27</v>
      </c>
      <c r="B16" t="s">
        <v>73</v>
      </c>
      <c r="C16" t="s">
        <v>74</v>
      </c>
      <c r="D16" t="s">
        <v>8</v>
      </c>
      <c r="E16" t="s">
        <v>118</v>
      </c>
      <c r="F16" t="s">
        <v>8</v>
      </c>
      <c r="H16" t="s">
        <v>134</v>
      </c>
      <c r="I16" t="s">
        <v>77</v>
      </c>
      <c r="J16" t="s">
        <v>135</v>
      </c>
      <c r="K16">
        <v>445</v>
      </c>
      <c r="L16">
        <v>445</v>
      </c>
      <c r="M16">
        <v>0</v>
      </c>
      <c r="N16">
        <v>440</v>
      </c>
      <c r="O16">
        <v>0</v>
      </c>
      <c r="P16">
        <v>884.90099999999995</v>
      </c>
      <c r="Q16">
        <v>909.529</v>
      </c>
      <c r="R16">
        <v>20000</v>
      </c>
      <c r="S16">
        <v>492560</v>
      </c>
      <c r="T16" s="9">
        <v>180000</v>
      </c>
      <c r="U16" s="9">
        <v>0</v>
      </c>
      <c r="V16" s="5">
        <f>Table1[[#This Row],[CONSUMPTION Q=(O-N)*P]]+Table1[[#This Row],[IMPORTED ENERGY]]-Table1[[#This Row],[EXPORTED ENERGY]]</f>
        <v>672560</v>
      </c>
      <c r="W16" s="5">
        <v>142</v>
      </c>
      <c r="X16" s="5">
        <v>608524.07999999996</v>
      </c>
      <c r="Y16" s="5">
        <v>608666.07999999996</v>
      </c>
      <c r="Z16" s="11">
        <f>(Table1[[#This Row],[NET CONSUMPTION T=Q+R-S]]-Table1[[#This Row],[TOTAL SALES W=U+V]])/Table1[[#This Row],[NET CONSUMPTION T=Q+R-S]]*100</f>
        <v>9.5001070536457775</v>
      </c>
      <c r="AA16">
        <v>9.5</v>
      </c>
      <c r="AB16">
        <v>3573845.77</v>
      </c>
      <c r="AC16">
        <v>3573735.77</v>
      </c>
      <c r="AD16">
        <v>0.90500000000000003</v>
      </c>
      <c r="AE16">
        <v>1</v>
      </c>
      <c r="AF16">
        <v>9.5</v>
      </c>
    </row>
    <row r="17" spans="1:32" x14ac:dyDescent="0.25">
      <c r="A17">
        <v>28</v>
      </c>
      <c r="B17" t="s">
        <v>73</v>
      </c>
      <c r="C17" t="s">
        <v>74</v>
      </c>
      <c r="D17" t="s">
        <v>8</v>
      </c>
      <c r="E17" t="s">
        <v>118</v>
      </c>
      <c r="F17" t="s">
        <v>8</v>
      </c>
      <c r="H17" t="s">
        <v>136</v>
      </c>
      <c r="I17" t="s">
        <v>82</v>
      </c>
      <c r="J17" t="s">
        <v>137</v>
      </c>
      <c r="K17">
        <v>1630</v>
      </c>
      <c r="L17">
        <v>1630</v>
      </c>
      <c r="M17">
        <v>0</v>
      </c>
      <c r="N17">
        <v>0</v>
      </c>
      <c r="O17">
        <v>0</v>
      </c>
      <c r="P17">
        <v>11287.2</v>
      </c>
      <c r="Q17">
        <v>11682.1</v>
      </c>
      <c r="R17">
        <v>1000</v>
      </c>
      <c r="S17">
        <v>394900</v>
      </c>
      <c r="T17" s="9">
        <v>0</v>
      </c>
      <c r="U17" s="9">
        <v>316000</v>
      </c>
      <c r="V17" s="5">
        <f>Table1[[#This Row],[CONSUMPTION Q=(O-N)*P]]+Table1[[#This Row],[IMPORTED ENERGY]]-Table1[[#This Row],[EXPORTED ENERGY]]</f>
        <v>78900</v>
      </c>
      <c r="W17" s="5">
        <v>72392</v>
      </c>
      <c r="X17" s="5">
        <v>0</v>
      </c>
      <c r="Y17" s="5">
        <v>72392</v>
      </c>
      <c r="Z17" s="11">
        <f>(Table1[[#This Row],[NET CONSUMPTION T=Q+R-S]]-Table1[[#This Row],[TOTAL SALES W=U+V]])/Table1[[#This Row],[NET CONSUMPTION T=Q+R-S]]*100</f>
        <v>8.248415716096325</v>
      </c>
      <c r="AA17">
        <v>0.7</v>
      </c>
      <c r="AB17">
        <v>846410.55</v>
      </c>
      <c r="AC17">
        <v>940830.9</v>
      </c>
      <c r="AD17">
        <v>0.99299999999999999</v>
      </c>
      <c r="AE17">
        <v>1.1115999999999999</v>
      </c>
      <c r="AF17">
        <v>0.78</v>
      </c>
    </row>
    <row r="18" spans="1:32" x14ac:dyDescent="0.25">
      <c r="A18">
        <v>29</v>
      </c>
      <c r="B18" t="s">
        <v>73</v>
      </c>
      <c r="C18" t="s">
        <v>74</v>
      </c>
      <c r="D18" t="s">
        <v>8</v>
      </c>
      <c r="E18" t="s">
        <v>118</v>
      </c>
      <c r="F18" t="s">
        <v>8</v>
      </c>
      <c r="H18" t="s">
        <v>138</v>
      </c>
      <c r="I18" t="s">
        <v>82</v>
      </c>
      <c r="J18" t="s">
        <v>139</v>
      </c>
      <c r="K18">
        <v>2285</v>
      </c>
      <c r="L18">
        <v>2285</v>
      </c>
      <c r="M18">
        <v>0</v>
      </c>
      <c r="N18">
        <v>0</v>
      </c>
      <c r="O18">
        <v>0</v>
      </c>
      <c r="P18">
        <v>6146.3</v>
      </c>
      <c r="Q18">
        <v>6260.3</v>
      </c>
      <c r="R18">
        <v>2000</v>
      </c>
      <c r="S18">
        <v>228000</v>
      </c>
      <c r="T18" s="9">
        <v>875</v>
      </c>
      <c r="U18" s="9">
        <v>90000</v>
      </c>
      <c r="V18" s="5">
        <f>Table1[[#This Row],[CONSUMPTION Q=(O-N)*P]]+Table1[[#This Row],[IMPORTED ENERGY]]-Table1[[#This Row],[EXPORTED ENERGY]]</f>
        <v>138875</v>
      </c>
      <c r="W18" s="5">
        <v>128333.35</v>
      </c>
      <c r="X18" s="5">
        <v>0</v>
      </c>
      <c r="Y18" s="5">
        <v>128333.35</v>
      </c>
      <c r="Z18" s="11">
        <f>(Table1[[#This Row],[NET CONSUMPTION T=Q+R-S]]-Table1[[#This Row],[TOTAL SALES W=U+V]])/Table1[[#This Row],[NET CONSUMPTION T=Q+R-S]]*100</f>
        <v>7.5907470747074672</v>
      </c>
      <c r="AA18">
        <v>4.9400000000000004</v>
      </c>
      <c r="AB18">
        <v>1416787.67</v>
      </c>
      <c r="AC18">
        <v>1343977.87</v>
      </c>
      <c r="AD18">
        <v>0.9506</v>
      </c>
      <c r="AE18">
        <v>0.9486</v>
      </c>
      <c r="AF18">
        <v>4.6900000000000004</v>
      </c>
    </row>
    <row r="19" spans="1:32" x14ac:dyDescent="0.25">
      <c r="A19">
        <v>30</v>
      </c>
      <c r="B19" t="s">
        <v>73</v>
      </c>
      <c r="C19" t="s">
        <v>74</v>
      </c>
      <c r="D19" t="s">
        <v>8</v>
      </c>
      <c r="E19" t="s">
        <v>118</v>
      </c>
      <c r="F19" t="s">
        <v>8</v>
      </c>
      <c r="H19" t="s">
        <v>140</v>
      </c>
      <c r="I19" t="s">
        <v>82</v>
      </c>
      <c r="J19" t="s">
        <v>141</v>
      </c>
      <c r="K19">
        <v>1858</v>
      </c>
      <c r="L19">
        <v>1858</v>
      </c>
      <c r="M19">
        <v>0</v>
      </c>
      <c r="N19">
        <v>0</v>
      </c>
      <c r="O19">
        <v>0</v>
      </c>
      <c r="P19">
        <v>10797.5</v>
      </c>
      <c r="Q19">
        <v>10923</v>
      </c>
      <c r="R19">
        <v>2000</v>
      </c>
      <c r="S19">
        <v>251000</v>
      </c>
      <c r="U19" s="9">
        <v>30000</v>
      </c>
      <c r="V19" s="5">
        <f>Table1[[#This Row],[CONSUMPTION Q=(O-N)*P]]+Table1[[#This Row],[IMPORTED ENERGY]]-Table1[[#This Row],[EXPORTED ENERGY]]</f>
        <v>221000</v>
      </c>
      <c r="W19" s="5">
        <v>199308.5</v>
      </c>
      <c r="X19" s="5">
        <v>0</v>
      </c>
      <c r="Y19" s="5">
        <v>199308.5</v>
      </c>
      <c r="Z19" s="11">
        <f>(Table1[[#This Row],[NET CONSUMPTION T=Q+R-S]]-Table1[[#This Row],[TOTAL SALES W=U+V]])/Table1[[#This Row],[NET CONSUMPTION T=Q+R-S]]*100</f>
        <v>9.8151583710407238</v>
      </c>
      <c r="AA19">
        <v>-3.81</v>
      </c>
      <c r="AB19">
        <v>2341872.89</v>
      </c>
      <c r="AC19">
        <v>2107453.15</v>
      </c>
      <c r="AD19">
        <v>1.0381</v>
      </c>
      <c r="AE19">
        <v>0.89990000000000003</v>
      </c>
      <c r="AF19">
        <v>-3.43</v>
      </c>
    </row>
    <row r="20" spans="1:32" x14ac:dyDescent="0.25">
      <c r="S20">
        <f>Table1[[#This Row],[IMPORTED ENERGY]]-Table1[[#This Row],[EXPORTED ENERGY]]</f>
        <v>9134.5</v>
      </c>
      <c r="T20" s="9">
        <f>SUM(T9:T19)</f>
        <v>961134.5</v>
      </c>
      <c r="U20" s="9">
        <f>SUM(U9:U19)</f>
        <v>952000</v>
      </c>
      <c r="V20" s="5">
        <f>Table1[[#This Row],[CONSUMPTION Q=(O-N)*P]]+Table1[[#This Row],[IMPORTED ENERGY]]-Table1[[#This Row],[EXPORTED ENERGY]]</f>
        <v>18269</v>
      </c>
      <c r="Z20" s="11">
        <f>(Table1[[#This Row],[NET CONSUMPTION T=Q+R-S]]-Table1[[#This Row],[TOTAL SALES W=U+V]])/Table1[[#This Row],[NET CONSUMPTION T=Q+R-S]]*100</f>
        <v>100</v>
      </c>
    </row>
    <row r="21" spans="1:32" x14ac:dyDescent="0.25">
      <c r="A21">
        <v>31</v>
      </c>
      <c r="B21" t="s">
        <v>73</v>
      </c>
      <c r="C21" t="s">
        <v>74</v>
      </c>
      <c r="D21" t="s">
        <v>8</v>
      </c>
      <c r="E21" t="s">
        <v>142</v>
      </c>
      <c r="F21" t="s">
        <v>8</v>
      </c>
      <c r="H21" t="s">
        <v>143</v>
      </c>
      <c r="I21" t="s">
        <v>82</v>
      </c>
      <c r="J21" t="s">
        <v>144</v>
      </c>
      <c r="K21">
        <v>1142</v>
      </c>
      <c r="L21">
        <v>1142</v>
      </c>
      <c r="M21">
        <v>0</v>
      </c>
      <c r="N21">
        <v>0</v>
      </c>
      <c r="O21">
        <v>0</v>
      </c>
      <c r="P21">
        <v>762.81399999999996</v>
      </c>
      <c r="Q21">
        <v>791.87099999999998</v>
      </c>
      <c r="R21">
        <v>20000</v>
      </c>
      <c r="S21">
        <v>290570</v>
      </c>
      <c r="T21" s="9">
        <v>0</v>
      </c>
      <c r="U21" s="9">
        <v>230000</v>
      </c>
      <c r="V21" s="5">
        <f>Table1[[#This Row],[CONSUMPTION Q=(O-N)*P]]+Table1[[#This Row],[IMPORTED ENERGY]]-Table1[[#This Row],[EXPORTED ENERGY]]</f>
        <v>60570</v>
      </c>
      <c r="W21" s="5">
        <v>63865.8</v>
      </c>
      <c r="X21" s="5">
        <v>0</v>
      </c>
      <c r="Y21" s="5">
        <v>63865.8</v>
      </c>
      <c r="Z21" s="11">
        <f>(Table1[[#This Row],[NET CONSUMPTION T=Q+R-S]]-Table1[[#This Row],[TOTAL SALES W=U+V]])/Table1[[#This Row],[NET CONSUMPTION T=Q+R-S]]*100</f>
        <v>-5.44130757800892</v>
      </c>
      <c r="AA21">
        <v>-5.44</v>
      </c>
      <c r="AB21">
        <v>764239.97</v>
      </c>
      <c r="AC21">
        <v>677901.91</v>
      </c>
      <c r="AD21">
        <v>1.0544</v>
      </c>
      <c r="AE21">
        <v>0.88700000000000001</v>
      </c>
      <c r="AF21">
        <v>-4.83</v>
      </c>
    </row>
    <row r="22" spans="1:32" x14ac:dyDescent="0.25">
      <c r="A22">
        <v>32</v>
      </c>
      <c r="B22" t="s">
        <v>73</v>
      </c>
      <c r="C22" t="s">
        <v>74</v>
      </c>
      <c r="D22" t="s">
        <v>8</v>
      </c>
      <c r="E22" t="s">
        <v>142</v>
      </c>
      <c r="F22" t="s">
        <v>8</v>
      </c>
      <c r="H22" t="s">
        <v>145</v>
      </c>
      <c r="I22" t="s">
        <v>77</v>
      </c>
      <c r="J22" t="s">
        <v>146</v>
      </c>
      <c r="K22">
        <v>303</v>
      </c>
      <c r="L22">
        <v>303</v>
      </c>
      <c r="M22">
        <v>0</v>
      </c>
      <c r="N22">
        <v>300</v>
      </c>
      <c r="O22">
        <v>0</v>
      </c>
      <c r="P22">
        <v>1014.9690000000001</v>
      </c>
      <c r="Q22">
        <v>1040.673</v>
      </c>
      <c r="R22">
        <v>20000</v>
      </c>
      <c r="S22">
        <v>514080</v>
      </c>
      <c r="T22" s="9">
        <v>130000</v>
      </c>
      <c r="U22" s="9">
        <v>0</v>
      </c>
      <c r="V22" s="5">
        <f>Table1[[#This Row],[CONSUMPTION Q=(O-N)*P]]+Table1[[#This Row],[IMPORTED ENERGY]]-Table1[[#This Row],[EXPORTED ENERGY]]</f>
        <v>644080</v>
      </c>
      <c r="W22" s="5">
        <v>151</v>
      </c>
      <c r="X22" s="5">
        <v>582782.43999999994</v>
      </c>
      <c r="Y22" s="5">
        <v>582933.43999999994</v>
      </c>
      <c r="Z22" s="11">
        <f>(Table1[[#This Row],[NET CONSUMPTION T=Q+R-S]]-Table1[[#This Row],[TOTAL SALES W=U+V]])/Table1[[#This Row],[NET CONSUMPTION T=Q+R-S]]*100</f>
        <v>9.493628120730353</v>
      </c>
      <c r="AA22">
        <v>9.49</v>
      </c>
      <c r="AB22">
        <v>3422300.19</v>
      </c>
      <c r="AC22">
        <v>3422218.19</v>
      </c>
      <c r="AD22">
        <v>0.90510000000000002</v>
      </c>
      <c r="AE22">
        <v>1</v>
      </c>
      <c r="AF22">
        <v>9.49</v>
      </c>
    </row>
    <row r="23" spans="1:32" x14ac:dyDescent="0.25">
      <c r="A23">
        <v>33</v>
      </c>
      <c r="B23" t="s">
        <v>73</v>
      </c>
      <c r="C23" t="s">
        <v>74</v>
      </c>
      <c r="D23" t="s">
        <v>8</v>
      </c>
      <c r="E23" t="s">
        <v>142</v>
      </c>
      <c r="F23" t="s">
        <v>8</v>
      </c>
      <c r="H23" t="s">
        <v>147</v>
      </c>
      <c r="I23" t="s">
        <v>77</v>
      </c>
      <c r="J23" t="s">
        <v>148</v>
      </c>
      <c r="K23">
        <v>344</v>
      </c>
      <c r="L23">
        <v>344</v>
      </c>
      <c r="M23">
        <v>0</v>
      </c>
      <c r="N23">
        <v>343</v>
      </c>
      <c r="O23">
        <v>0</v>
      </c>
      <c r="P23">
        <v>774.57</v>
      </c>
      <c r="Q23">
        <v>802.34900000000005</v>
      </c>
      <c r="R23">
        <v>20000</v>
      </c>
      <c r="S23">
        <v>555580</v>
      </c>
      <c r="T23" s="9">
        <v>100000</v>
      </c>
      <c r="U23" s="9">
        <v>0</v>
      </c>
      <c r="V23" s="5">
        <f>Table1[[#This Row],[CONSUMPTION Q=(O-N)*P]]+Table1[[#This Row],[IMPORTED ENERGY]]-Table1[[#This Row],[EXPORTED ENERGY]]</f>
        <v>655580</v>
      </c>
      <c r="W23" s="5">
        <v>17</v>
      </c>
      <c r="X23" s="5">
        <v>593284.53099999996</v>
      </c>
      <c r="Y23" s="5">
        <v>593301.53099999996</v>
      </c>
      <c r="Z23" s="11">
        <f>(Table1[[#This Row],[NET CONSUMPTION T=Q+R-S]]-Table1[[#This Row],[TOTAL SALES W=U+V]])/Table1[[#This Row],[NET CONSUMPTION T=Q+R-S]]*100</f>
        <v>9.4997512126666539</v>
      </c>
      <c r="AA23">
        <v>9.5</v>
      </c>
      <c r="AB23">
        <v>3483479.73</v>
      </c>
      <c r="AC23">
        <v>3483479.73</v>
      </c>
      <c r="AD23">
        <v>0.90500000000000003</v>
      </c>
      <c r="AE23">
        <v>1</v>
      </c>
      <c r="AF23">
        <v>9.5</v>
      </c>
    </row>
    <row r="24" spans="1:32" x14ac:dyDescent="0.25">
      <c r="A24">
        <v>34</v>
      </c>
      <c r="B24" t="s">
        <v>73</v>
      </c>
      <c r="C24" t="s">
        <v>74</v>
      </c>
      <c r="D24" t="s">
        <v>8</v>
      </c>
      <c r="E24" t="s">
        <v>142</v>
      </c>
      <c r="F24" t="s">
        <v>8</v>
      </c>
      <c r="H24" t="s">
        <v>149</v>
      </c>
      <c r="I24" t="s">
        <v>77</v>
      </c>
      <c r="J24" t="s">
        <v>150</v>
      </c>
      <c r="K24">
        <v>334</v>
      </c>
      <c r="L24">
        <v>334</v>
      </c>
      <c r="M24">
        <v>0</v>
      </c>
      <c r="N24">
        <v>333</v>
      </c>
      <c r="O24">
        <v>0</v>
      </c>
      <c r="P24">
        <v>1048.7619999999999</v>
      </c>
      <c r="Q24">
        <v>1074.2470000000001</v>
      </c>
      <c r="R24">
        <v>20000</v>
      </c>
      <c r="S24">
        <v>509700</v>
      </c>
      <c r="T24" s="9">
        <v>100000</v>
      </c>
      <c r="U24" s="9">
        <v>0</v>
      </c>
      <c r="V24" s="5">
        <f>Table1[[#This Row],[CONSUMPTION Q=(O-N)*P]]+Table1[[#This Row],[IMPORTED ENERGY]]-Table1[[#This Row],[EXPORTED ENERGY]]</f>
        <v>609700</v>
      </c>
      <c r="W24" s="5">
        <v>8</v>
      </c>
      <c r="X24" s="5">
        <v>551769.71499999997</v>
      </c>
      <c r="Y24" s="5">
        <v>551777.71499999997</v>
      </c>
      <c r="Z24" s="11">
        <f>(Table1[[#This Row],[NET CONSUMPTION T=Q+R-S]]-Table1[[#This Row],[TOTAL SALES W=U+V]])/Table1[[#This Row],[NET CONSUMPTION T=Q+R-S]]*100</f>
        <v>9.5001287518451765</v>
      </c>
      <c r="AA24">
        <v>9.5</v>
      </c>
      <c r="AB24">
        <v>3239069.63</v>
      </c>
      <c r="AC24">
        <v>3239061.63</v>
      </c>
      <c r="AD24">
        <v>0.90500000000000003</v>
      </c>
      <c r="AE24">
        <v>1</v>
      </c>
      <c r="AF24">
        <v>9.5</v>
      </c>
    </row>
    <row r="25" spans="1:32" x14ac:dyDescent="0.25">
      <c r="A25">
        <v>35</v>
      </c>
      <c r="B25" t="s">
        <v>73</v>
      </c>
      <c r="C25" t="s">
        <v>74</v>
      </c>
      <c r="D25" t="s">
        <v>8</v>
      </c>
      <c r="E25" t="s">
        <v>142</v>
      </c>
      <c r="F25" t="s">
        <v>8</v>
      </c>
      <c r="H25" t="s">
        <v>151</v>
      </c>
      <c r="I25" t="s">
        <v>77</v>
      </c>
      <c r="J25" t="s">
        <v>152</v>
      </c>
      <c r="K25">
        <v>383</v>
      </c>
      <c r="L25">
        <v>383</v>
      </c>
      <c r="M25">
        <v>0</v>
      </c>
      <c r="N25">
        <v>383</v>
      </c>
      <c r="O25">
        <v>0</v>
      </c>
      <c r="P25">
        <v>342.51299999999998</v>
      </c>
      <c r="Q25">
        <v>364.661</v>
      </c>
      <c r="R25">
        <v>20000</v>
      </c>
      <c r="S25">
        <v>442960</v>
      </c>
      <c r="T25" s="9">
        <v>65000</v>
      </c>
      <c r="U25" s="9">
        <v>0</v>
      </c>
      <c r="V25" s="5">
        <f>Table1[[#This Row],[CONSUMPTION Q=(O-N)*P]]+Table1[[#This Row],[IMPORTED ENERGY]]-Table1[[#This Row],[EXPORTED ENERGY]]</f>
        <v>507960</v>
      </c>
      <c r="W25" s="5">
        <v>0</v>
      </c>
      <c r="X25" s="5">
        <v>459703.02399999998</v>
      </c>
      <c r="Y25" s="5">
        <v>459703.02399999998</v>
      </c>
      <c r="Z25" s="11">
        <f>(Table1[[#This Row],[NET CONSUMPTION T=Q+R-S]]-Table1[[#This Row],[TOTAL SALES W=U+V]])/Table1[[#This Row],[NET CONSUMPTION T=Q+R-S]]*100</f>
        <v>9.5001527679344875</v>
      </c>
      <c r="AA25">
        <v>9.5</v>
      </c>
      <c r="AB25">
        <v>2698457.37</v>
      </c>
      <c r="AC25">
        <v>2698457.37</v>
      </c>
      <c r="AD25">
        <v>0.90500000000000003</v>
      </c>
      <c r="AE25">
        <v>1</v>
      </c>
      <c r="AF25">
        <v>9.5</v>
      </c>
    </row>
    <row r="26" spans="1:32" x14ac:dyDescent="0.25">
      <c r="A26">
        <v>36</v>
      </c>
      <c r="B26" t="s">
        <v>73</v>
      </c>
      <c r="C26" t="s">
        <v>74</v>
      </c>
      <c r="D26" t="s">
        <v>8</v>
      </c>
      <c r="E26" t="s">
        <v>142</v>
      </c>
      <c r="F26" t="s">
        <v>8</v>
      </c>
      <c r="H26" t="s">
        <v>153</v>
      </c>
      <c r="I26" t="s">
        <v>82</v>
      </c>
      <c r="J26" t="s">
        <v>154</v>
      </c>
      <c r="K26">
        <v>1621</v>
      </c>
      <c r="L26">
        <v>1621</v>
      </c>
      <c r="M26">
        <v>0</v>
      </c>
      <c r="N26">
        <v>0</v>
      </c>
      <c r="O26">
        <v>0</v>
      </c>
      <c r="P26">
        <v>96.144999999999996</v>
      </c>
      <c r="Q26">
        <v>122.349</v>
      </c>
      <c r="R26">
        <v>10000</v>
      </c>
      <c r="S26">
        <v>262040</v>
      </c>
      <c r="T26" s="9">
        <v>0</v>
      </c>
      <c r="U26" s="9">
        <v>165000</v>
      </c>
      <c r="V26" s="5">
        <f>Table1[[#This Row],[CONSUMPTION Q=(O-N)*P]]+Table1[[#This Row],[IMPORTED ENERGY]]-Table1[[#This Row],[EXPORTED ENERGY]]</f>
        <v>97040</v>
      </c>
      <c r="W26" s="5">
        <v>89593.73</v>
      </c>
      <c r="X26" s="5">
        <v>0</v>
      </c>
      <c r="Y26" s="5">
        <v>89593.73</v>
      </c>
      <c r="Z26" s="11">
        <f>(Table1[[#This Row],[NET CONSUMPTION T=Q+R-S]]-Table1[[#This Row],[TOTAL SALES W=U+V]])/Table1[[#This Row],[NET CONSUMPTION T=Q+R-S]]*100</f>
        <v>7.6734027205276227</v>
      </c>
      <c r="AA26">
        <v>7.67</v>
      </c>
      <c r="AB26">
        <v>1011415.42</v>
      </c>
      <c r="AC26">
        <v>740460.71</v>
      </c>
      <c r="AD26">
        <v>0.92330000000000001</v>
      </c>
      <c r="AE26">
        <v>0.73209999999999997</v>
      </c>
      <c r="AF26">
        <v>5.62</v>
      </c>
    </row>
    <row r="27" spans="1:32" x14ac:dyDescent="0.25">
      <c r="A27">
        <v>37</v>
      </c>
      <c r="B27" t="s">
        <v>73</v>
      </c>
      <c r="C27" t="s">
        <v>74</v>
      </c>
      <c r="D27" t="s">
        <v>8</v>
      </c>
      <c r="E27" t="s">
        <v>142</v>
      </c>
      <c r="F27" t="s">
        <v>8</v>
      </c>
      <c r="H27" t="s">
        <v>155</v>
      </c>
      <c r="I27" t="s">
        <v>77</v>
      </c>
      <c r="J27" t="s">
        <v>156</v>
      </c>
      <c r="K27">
        <v>222</v>
      </c>
      <c r="L27">
        <v>222</v>
      </c>
      <c r="M27">
        <v>0</v>
      </c>
      <c r="N27">
        <v>222</v>
      </c>
      <c r="O27">
        <v>0</v>
      </c>
      <c r="P27">
        <v>604.92999999999995</v>
      </c>
      <c r="Q27">
        <v>624.06299999999999</v>
      </c>
      <c r="R27">
        <v>20000</v>
      </c>
      <c r="S27">
        <v>382660</v>
      </c>
      <c r="T27" s="9">
        <v>0</v>
      </c>
      <c r="U27" s="9">
        <v>0</v>
      </c>
      <c r="V27" s="5">
        <f>Table1[[#This Row],[CONSUMPTION Q=(O-N)*P]]+Table1[[#This Row],[IMPORTED ENERGY]]-Table1[[#This Row],[EXPORTED ENERGY]]</f>
        <v>382660</v>
      </c>
      <c r="W27" s="5">
        <v>0</v>
      </c>
      <c r="X27" s="5">
        <v>348526.00400000002</v>
      </c>
      <c r="Y27" s="5">
        <v>348526.00400000002</v>
      </c>
      <c r="Z27" s="11">
        <f>(Table1[[#This Row],[NET CONSUMPTION T=Q+R-S]]-Table1[[#This Row],[TOTAL SALES W=U+V]])/Table1[[#This Row],[NET CONSUMPTION T=Q+R-S]]*100</f>
        <v>8.9201892019024669</v>
      </c>
      <c r="AA27">
        <v>8.92</v>
      </c>
      <c r="AB27">
        <v>2045847.74</v>
      </c>
      <c r="AC27">
        <v>2045847.74</v>
      </c>
      <c r="AD27">
        <v>0.91080000000000005</v>
      </c>
      <c r="AE27">
        <v>1</v>
      </c>
      <c r="AF27">
        <v>8.92</v>
      </c>
    </row>
    <row r="28" spans="1:32" x14ac:dyDescent="0.25">
      <c r="A28">
        <v>38</v>
      </c>
      <c r="B28" t="s">
        <v>73</v>
      </c>
      <c r="C28" t="s">
        <v>74</v>
      </c>
      <c r="D28" t="s">
        <v>8</v>
      </c>
      <c r="E28" t="s">
        <v>142</v>
      </c>
      <c r="F28" t="s">
        <v>8</v>
      </c>
      <c r="H28" t="s">
        <v>157</v>
      </c>
      <c r="I28" t="s">
        <v>77</v>
      </c>
      <c r="J28" t="s">
        <v>158</v>
      </c>
      <c r="K28">
        <v>209</v>
      </c>
      <c r="L28">
        <v>209</v>
      </c>
      <c r="M28">
        <v>0</v>
      </c>
      <c r="N28">
        <v>209</v>
      </c>
      <c r="O28">
        <v>0</v>
      </c>
      <c r="P28">
        <v>565.99599999999998</v>
      </c>
      <c r="Q28">
        <v>582.99400000000003</v>
      </c>
      <c r="R28">
        <v>20000</v>
      </c>
      <c r="S28">
        <v>339960</v>
      </c>
      <c r="T28" s="9">
        <v>58000</v>
      </c>
      <c r="U28" s="9">
        <v>0</v>
      </c>
      <c r="V28" s="5">
        <f>Table1[[#This Row],[CONSUMPTION Q=(O-N)*P]]+Table1[[#This Row],[IMPORTED ENERGY]]-Table1[[#This Row],[EXPORTED ENERGY]]</f>
        <v>397960</v>
      </c>
      <c r="W28" s="5">
        <v>0</v>
      </c>
      <c r="X28" s="5">
        <v>360153.016</v>
      </c>
      <c r="Y28" s="5">
        <v>360153.016</v>
      </c>
      <c r="Z28" s="11">
        <f>(Table1[[#This Row],[NET CONSUMPTION T=Q+R-S]]-Table1[[#This Row],[TOTAL SALES W=U+V]])/Table1[[#This Row],[NET CONSUMPTION T=Q+R-S]]*100</f>
        <v>9.5001970047240931</v>
      </c>
      <c r="AA28">
        <v>9.5</v>
      </c>
      <c r="AB28">
        <v>2114097.73</v>
      </c>
      <c r="AC28">
        <v>2114097.73</v>
      </c>
      <c r="AD28">
        <v>0.90500000000000003</v>
      </c>
      <c r="AE28">
        <v>1</v>
      </c>
      <c r="AF28">
        <v>9.5</v>
      </c>
    </row>
    <row r="29" spans="1:32" x14ac:dyDescent="0.25">
      <c r="A29">
        <v>39</v>
      </c>
      <c r="B29" t="s">
        <v>73</v>
      </c>
      <c r="C29" t="s">
        <v>74</v>
      </c>
      <c r="D29" t="s">
        <v>8</v>
      </c>
      <c r="E29" t="s">
        <v>142</v>
      </c>
      <c r="F29" t="s">
        <v>8</v>
      </c>
      <c r="H29" t="s">
        <v>159</v>
      </c>
      <c r="I29" t="s">
        <v>82</v>
      </c>
      <c r="J29" t="s">
        <v>160</v>
      </c>
      <c r="K29">
        <v>1057</v>
      </c>
      <c r="L29">
        <v>1057</v>
      </c>
      <c r="M29">
        <v>0</v>
      </c>
      <c r="N29">
        <v>0</v>
      </c>
      <c r="O29">
        <v>0</v>
      </c>
      <c r="P29">
        <v>0</v>
      </c>
      <c r="Q29">
        <v>0</v>
      </c>
      <c r="R29">
        <v>20000</v>
      </c>
      <c r="S29">
        <v>0</v>
      </c>
      <c r="T29" s="9">
        <v>54505</v>
      </c>
      <c r="U29" s="9">
        <v>0</v>
      </c>
      <c r="V29" s="5">
        <f>Table1[[#This Row],[CONSUMPTION Q=(O-N)*P]]+Table1[[#This Row],[IMPORTED ENERGY]]-Table1[[#This Row],[EXPORTED ENERGY]]</f>
        <v>54505</v>
      </c>
      <c r="W29" s="5">
        <v>61075</v>
      </c>
      <c r="X29" s="5">
        <v>0</v>
      </c>
      <c r="Y29" s="5">
        <v>61075</v>
      </c>
      <c r="Z29" s="11">
        <f>(Table1[[#This Row],[NET CONSUMPTION T=Q+R-S]]-Table1[[#This Row],[TOTAL SALES W=U+V]])/Table1[[#This Row],[NET CONSUMPTION T=Q+R-S]]*100</f>
        <v>-12.053940005504082</v>
      </c>
      <c r="AA29">
        <v>-6107500</v>
      </c>
      <c r="AB29">
        <v>664816.18000000005</v>
      </c>
      <c r="AC29">
        <v>457260.18</v>
      </c>
      <c r="AD29">
        <v>0</v>
      </c>
      <c r="AE29">
        <v>0.68779999999999997</v>
      </c>
      <c r="AF29">
        <v>68.78</v>
      </c>
    </row>
    <row r="30" spans="1:32" x14ac:dyDescent="0.25">
      <c r="A30">
        <v>40</v>
      </c>
      <c r="B30" t="s">
        <v>73</v>
      </c>
      <c r="C30" t="s">
        <v>74</v>
      </c>
      <c r="D30" t="s">
        <v>8</v>
      </c>
      <c r="E30" t="s">
        <v>142</v>
      </c>
      <c r="F30" t="s">
        <v>8</v>
      </c>
      <c r="H30" t="s">
        <v>161</v>
      </c>
      <c r="I30" t="s">
        <v>82</v>
      </c>
      <c r="J30" t="s">
        <v>162</v>
      </c>
      <c r="K30">
        <v>1114</v>
      </c>
      <c r="L30">
        <v>1114</v>
      </c>
      <c r="M30">
        <v>0</v>
      </c>
      <c r="N30">
        <v>0</v>
      </c>
      <c r="O30">
        <v>0</v>
      </c>
      <c r="P30">
        <v>6580</v>
      </c>
      <c r="Q30">
        <v>6936.1</v>
      </c>
      <c r="R30">
        <v>1000</v>
      </c>
      <c r="S30">
        <v>356100</v>
      </c>
      <c r="T30" s="9">
        <v>0</v>
      </c>
      <c r="U30" s="9">
        <v>286000</v>
      </c>
      <c r="V30" s="5">
        <f>Table1[[#This Row],[CONSUMPTION Q=(O-N)*P]]+Table1[[#This Row],[IMPORTED ENERGY]]-Table1[[#This Row],[EXPORTED ENERGY]]</f>
        <v>70100</v>
      </c>
      <c r="W30" s="5">
        <v>76097</v>
      </c>
      <c r="X30" s="5">
        <v>0</v>
      </c>
      <c r="Y30" s="5">
        <v>76097</v>
      </c>
      <c r="Z30" s="11">
        <f>(Table1[[#This Row],[NET CONSUMPTION T=Q+R-S]]-Table1[[#This Row],[TOTAL SALES W=U+V]])/Table1[[#This Row],[NET CONSUMPTION T=Q+R-S]]*100</f>
        <v>-8.5549215406562062</v>
      </c>
      <c r="AA30">
        <v>-8.5500000000000007</v>
      </c>
      <c r="AB30">
        <v>815183.59</v>
      </c>
      <c r="AC30">
        <v>623376.59</v>
      </c>
      <c r="AD30">
        <v>1.0854999999999999</v>
      </c>
      <c r="AE30">
        <v>0.76470000000000005</v>
      </c>
      <c r="AF30">
        <v>-6.54</v>
      </c>
    </row>
    <row r="31" spans="1:32" x14ac:dyDescent="0.25">
      <c r="A31">
        <v>41</v>
      </c>
      <c r="B31" t="s">
        <v>73</v>
      </c>
      <c r="C31" t="s">
        <v>74</v>
      </c>
      <c r="D31" t="s">
        <v>8</v>
      </c>
      <c r="E31" t="s">
        <v>142</v>
      </c>
      <c r="F31" t="s">
        <v>8</v>
      </c>
      <c r="H31" t="s">
        <v>163</v>
      </c>
      <c r="I31" t="s">
        <v>77</v>
      </c>
      <c r="J31" t="s">
        <v>164</v>
      </c>
      <c r="K31">
        <v>363</v>
      </c>
      <c r="L31">
        <v>363</v>
      </c>
      <c r="M31">
        <v>0</v>
      </c>
      <c r="N31">
        <v>363</v>
      </c>
      <c r="O31">
        <v>0</v>
      </c>
      <c r="P31">
        <v>7963.7</v>
      </c>
      <c r="Q31">
        <v>8193.9</v>
      </c>
      <c r="R31">
        <v>2000</v>
      </c>
      <c r="S31">
        <v>460400</v>
      </c>
      <c r="T31" s="9">
        <v>100000</v>
      </c>
      <c r="U31" s="9">
        <v>0</v>
      </c>
      <c r="V31" s="5">
        <f>Table1[[#This Row],[CONSUMPTION Q=(O-N)*P]]+Table1[[#This Row],[IMPORTED ENERGY]]-Table1[[#This Row],[EXPORTED ENERGY]]</f>
        <v>560400</v>
      </c>
      <c r="W31" s="5">
        <v>0</v>
      </c>
      <c r="X31" s="5">
        <v>509790.68699999998</v>
      </c>
      <c r="Y31" s="5">
        <v>509790.68699999998</v>
      </c>
      <c r="Z31" s="11">
        <f>(Table1[[#This Row],[NET CONSUMPTION T=Q+R-S]]-Table1[[#This Row],[TOTAL SALES W=U+V]])/Table1[[#This Row],[NET CONSUMPTION T=Q+R-S]]*100</f>
        <v>9.0309266595289124</v>
      </c>
      <c r="AA31">
        <v>9.0299999999999994</v>
      </c>
      <c r="AB31">
        <v>2992471.67</v>
      </c>
      <c r="AC31">
        <v>2992471.67</v>
      </c>
      <c r="AD31">
        <v>0.90969999999999995</v>
      </c>
      <c r="AE31">
        <v>1</v>
      </c>
      <c r="AF31">
        <v>9.0299999999999994</v>
      </c>
    </row>
    <row r="32" spans="1:32" x14ac:dyDescent="0.25">
      <c r="A32">
        <v>42</v>
      </c>
      <c r="B32" t="s">
        <v>73</v>
      </c>
      <c r="C32" t="s">
        <v>74</v>
      </c>
      <c r="D32" t="s">
        <v>8</v>
      </c>
      <c r="E32" t="s">
        <v>142</v>
      </c>
      <c r="F32" t="s">
        <v>8</v>
      </c>
      <c r="H32" t="s">
        <v>165</v>
      </c>
      <c r="I32" t="s">
        <v>77</v>
      </c>
      <c r="J32" t="s">
        <v>166</v>
      </c>
      <c r="K32">
        <v>331</v>
      </c>
      <c r="L32">
        <v>331</v>
      </c>
      <c r="M32">
        <v>0</v>
      </c>
      <c r="N32">
        <v>320</v>
      </c>
      <c r="O32">
        <v>0</v>
      </c>
      <c r="P32">
        <v>11458.7</v>
      </c>
      <c r="Q32">
        <v>11617.1</v>
      </c>
      <c r="R32">
        <v>2000</v>
      </c>
      <c r="S32">
        <v>316800</v>
      </c>
      <c r="T32" s="9">
        <v>186000</v>
      </c>
      <c r="U32" s="9">
        <v>0</v>
      </c>
      <c r="V32" s="5">
        <f>Table1[[#This Row],[CONSUMPTION Q=(O-N)*P]]+Table1[[#This Row],[IMPORTED ENERGY]]-Table1[[#This Row],[EXPORTED ENERGY]]</f>
        <v>502800</v>
      </c>
      <c r="W32" s="5">
        <v>180</v>
      </c>
      <c r="X32" s="5">
        <v>454852.70299999998</v>
      </c>
      <c r="Y32" s="5">
        <v>455032.70299999998</v>
      </c>
      <c r="Z32" s="11">
        <f>(Table1[[#This Row],[NET CONSUMPTION T=Q+R-S]]-Table1[[#This Row],[TOTAL SALES W=U+V]])/Table1[[#This Row],[NET CONSUMPTION T=Q+R-S]]*100</f>
        <v>9.5002579554494879</v>
      </c>
      <c r="AA32">
        <v>9.5</v>
      </c>
      <c r="AB32">
        <v>2672550.58</v>
      </c>
      <c r="AC32">
        <v>2672502.58</v>
      </c>
      <c r="AD32">
        <v>0.90500000000000003</v>
      </c>
      <c r="AE32">
        <v>1</v>
      </c>
      <c r="AF32">
        <v>9.5</v>
      </c>
    </row>
    <row r="33" spans="1:32" x14ac:dyDescent="0.25">
      <c r="V33" s="5">
        <f>Table1[[#This Row],[CONSUMPTION Q=(O-N)*P]]+Table1[[#This Row],[IMPORTED ENERGY]]-Table1[[#This Row],[EXPORTED ENERGY]]</f>
        <v>0</v>
      </c>
      <c r="Z33" s="11" t="e">
        <f>(Table1[[#This Row],[NET CONSUMPTION T=Q+R-S]]-Table1[[#This Row],[TOTAL SALES W=U+V]])/Table1[[#This Row],[NET CONSUMPTION T=Q+R-S]]*100</f>
        <v>#DIV/0!</v>
      </c>
    </row>
    <row r="34" spans="1:32" x14ac:dyDescent="0.25">
      <c r="A34">
        <v>6</v>
      </c>
      <c r="B34" t="s">
        <v>73</v>
      </c>
      <c r="C34" t="s">
        <v>74</v>
      </c>
      <c r="D34" t="s">
        <v>8</v>
      </c>
      <c r="E34" t="s">
        <v>88</v>
      </c>
      <c r="F34" t="s">
        <v>8</v>
      </c>
      <c r="H34" t="s">
        <v>89</v>
      </c>
      <c r="I34" t="s">
        <v>82</v>
      </c>
      <c r="J34" t="s">
        <v>90</v>
      </c>
      <c r="K34">
        <v>1530</v>
      </c>
      <c r="L34">
        <v>1530</v>
      </c>
      <c r="M34">
        <v>0</v>
      </c>
      <c r="N34">
        <v>0</v>
      </c>
      <c r="O34">
        <v>0</v>
      </c>
      <c r="P34">
        <v>10242</v>
      </c>
      <c r="Q34">
        <v>10406</v>
      </c>
      <c r="R34">
        <v>2000</v>
      </c>
      <c r="S34">
        <v>328000</v>
      </c>
      <c r="T34" s="9">
        <v>0</v>
      </c>
      <c r="U34" s="9">
        <v>237000</v>
      </c>
      <c r="V34" s="5">
        <f>Table1[[#This Row],[CONSUMPTION Q=(O-N)*P]]+Table1[[#This Row],[IMPORTED ENERGY]]-Table1[[#This Row],[EXPORTED ENERGY]]</f>
        <v>91000</v>
      </c>
      <c r="W34" s="5">
        <v>91044.44</v>
      </c>
      <c r="X34" s="5">
        <v>0</v>
      </c>
      <c r="Y34" s="5">
        <v>91044.44</v>
      </c>
      <c r="Z34" s="11">
        <f>(Table1[[#This Row],[NET CONSUMPTION T=Q+R-S]]-Table1[[#This Row],[TOTAL SALES W=U+V]])/Table1[[#This Row],[NET CONSUMPTION T=Q+R-S]]*100</f>
        <v>-4.8835164835167394E-2</v>
      </c>
      <c r="AA34">
        <v>-0.05</v>
      </c>
      <c r="AB34">
        <v>951986.43</v>
      </c>
      <c r="AC34">
        <v>675412.3</v>
      </c>
      <c r="AD34">
        <v>1.0004999999999999</v>
      </c>
      <c r="AE34">
        <v>0.70950000000000002</v>
      </c>
      <c r="AF34">
        <v>-0.04</v>
      </c>
    </row>
    <row r="35" spans="1:32" x14ac:dyDescent="0.25">
      <c r="A35">
        <v>7</v>
      </c>
      <c r="B35" t="s">
        <v>73</v>
      </c>
      <c r="C35" t="s">
        <v>74</v>
      </c>
      <c r="D35" t="s">
        <v>8</v>
      </c>
      <c r="E35" t="s">
        <v>88</v>
      </c>
      <c r="F35" t="s">
        <v>8</v>
      </c>
      <c r="H35" t="s">
        <v>91</v>
      </c>
      <c r="I35" t="s">
        <v>82</v>
      </c>
      <c r="J35" t="s">
        <v>92</v>
      </c>
      <c r="K35">
        <v>1391</v>
      </c>
      <c r="L35">
        <v>1391</v>
      </c>
      <c r="M35">
        <v>0</v>
      </c>
      <c r="N35">
        <v>0</v>
      </c>
      <c r="O35">
        <v>0</v>
      </c>
      <c r="P35">
        <v>6823.8</v>
      </c>
      <c r="Q35">
        <v>6921.5</v>
      </c>
      <c r="R35">
        <v>2000</v>
      </c>
      <c r="S35">
        <v>195400</v>
      </c>
      <c r="T35" s="9">
        <v>0</v>
      </c>
      <c r="U35" s="9">
        <v>140000</v>
      </c>
      <c r="V35" s="5">
        <f>Table1[[#This Row],[CONSUMPTION Q=(O-N)*P]]+Table1[[#This Row],[IMPORTED ENERGY]]-Table1[[#This Row],[EXPORTED ENERGY]]</f>
        <v>55400</v>
      </c>
      <c r="W35" s="5">
        <v>87219.5</v>
      </c>
      <c r="X35" s="5">
        <v>0</v>
      </c>
      <c r="Y35" s="5">
        <v>87219.5</v>
      </c>
      <c r="Z35" s="11">
        <f>(Table1[[#This Row],[NET CONSUMPTION T=Q+R-S]]-Table1[[#This Row],[TOTAL SALES W=U+V]])/Table1[[#This Row],[NET CONSUMPTION T=Q+R-S]]*100</f>
        <v>-57.435920577617324</v>
      </c>
      <c r="AA35">
        <v>-57.44</v>
      </c>
      <c r="AB35">
        <v>879127.86</v>
      </c>
      <c r="AC35">
        <v>596153.93000000005</v>
      </c>
      <c r="AD35">
        <v>1.5744</v>
      </c>
      <c r="AE35">
        <v>0.67810000000000004</v>
      </c>
      <c r="AF35">
        <v>-38.950000000000003</v>
      </c>
    </row>
    <row r="36" spans="1:32" x14ac:dyDescent="0.25">
      <c r="A36">
        <v>8</v>
      </c>
      <c r="B36" t="s">
        <v>73</v>
      </c>
      <c r="C36" t="s">
        <v>74</v>
      </c>
      <c r="D36" t="s">
        <v>8</v>
      </c>
      <c r="E36" t="s">
        <v>88</v>
      </c>
      <c r="F36" t="s">
        <v>8</v>
      </c>
      <c r="H36" t="s">
        <v>93</v>
      </c>
      <c r="I36" t="s">
        <v>77</v>
      </c>
      <c r="J36" t="s">
        <v>94</v>
      </c>
      <c r="K36">
        <v>281</v>
      </c>
      <c r="L36">
        <v>281</v>
      </c>
      <c r="M36">
        <v>0</v>
      </c>
      <c r="N36">
        <v>281</v>
      </c>
      <c r="O36">
        <v>0</v>
      </c>
      <c r="P36">
        <v>9709.6</v>
      </c>
      <c r="Q36">
        <v>9966.4</v>
      </c>
      <c r="R36">
        <v>2000</v>
      </c>
      <c r="S36">
        <v>513600</v>
      </c>
      <c r="T36" s="9">
        <v>60000</v>
      </c>
      <c r="U36" s="9">
        <v>0</v>
      </c>
      <c r="V36" s="5">
        <f>Table1[[#This Row],[CONSUMPTION Q=(O-N)*P]]+Table1[[#This Row],[IMPORTED ENERGY]]-Table1[[#This Row],[EXPORTED ENERGY]]</f>
        <v>573600</v>
      </c>
      <c r="W36" s="5">
        <v>0</v>
      </c>
      <c r="X36" s="5">
        <v>519107.00400000002</v>
      </c>
      <c r="Y36" s="5">
        <v>519107.00400000002</v>
      </c>
      <c r="Z36" s="11">
        <f>(Table1[[#This Row],[NET CONSUMPTION T=Q+R-S]]-Table1[[#This Row],[TOTAL SALES W=U+V]])/Table1[[#This Row],[NET CONSUMPTION T=Q+R-S]]*100</f>
        <v>9.5001736401673611</v>
      </c>
      <c r="AA36">
        <v>9.5</v>
      </c>
      <c r="AB36">
        <v>3047158.52</v>
      </c>
      <c r="AC36">
        <v>3047158.52</v>
      </c>
      <c r="AD36">
        <v>0.90500000000000003</v>
      </c>
      <c r="AE36">
        <v>1</v>
      </c>
      <c r="AF36">
        <v>9.5</v>
      </c>
    </row>
    <row r="37" spans="1:32" x14ac:dyDescent="0.25">
      <c r="A37">
        <v>9</v>
      </c>
      <c r="B37" t="s">
        <v>73</v>
      </c>
      <c r="C37" t="s">
        <v>74</v>
      </c>
      <c r="D37" t="s">
        <v>8</v>
      </c>
      <c r="E37" t="s">
        <v>88</v>
      </c>
      <c r="F37" t="s">
        <v>8</v>
      </c>
      <c r="H37" t="s">
        <v>95</v>
      </c>
      <c r="I37" t="s">
        <v>77</v>
      </c>
      <c r="J37" t="s">
        <v>96</v>
      </c>
      <c r="K37">
        <v>321</v>
      </c>
      <c r="L37">
        <v>321</v>
      </c>
      <c r="M37">
        <v>0</v>
      </c>
      <c r="N37">
        <v>320</v>
      </c>
      <c r="O37">
        <v>0</v>
      </c>
      <c r="P37">
        <v>11088.5</v>
      </c>
      <c r="Q37">
        <v>11381.9</v>
      </c>
      <c r="R37">
        <v>2000</v>
      </c>
      <c r="S37">
        <v>586800</v>
      </c>
      <c r="T37" s="9">
        <v>76000</v>
      </c>
      <c r="U37" s="9">
        <v>0</v>
      </c>
      <c r="V37" s="5">
        <f>Table1[[#This Row],[CONSUMPTION Q=(O-N)*P]]+Table1[[#This Row],[IMPORTED ENERGY]]-Table1[[#This Row],[EXPORTED ENERGY]]</f>
        <v>662800</v>
      </c>
      <c r="W37" s="5">
        <v>1</v>
      </c>
      <c r="X37" s="5">
        <v>594357.53</v>
      </c>
      <c r="Y37" s="5">
        <v>594358.53</v>
      </c>
      <c r="Z37" s="11">
        <f>(Table1[[#This Row],[NET CONSUMPTION T=Q+R-S]]-Table1[[#This Row],[TOTAL SALES W=U+V]])/Table1[[#This Row],[NET CONSUMPTION T=Q+R-S]]*100</f>
        <v>10.32611194930597</v>
      </c>
      <c r="AA37">
        <v>10.33</v>
      </c>
      <c r="AB37">
        <v>3489019.1</v>
      </c>
      <c r="AC37">
        <v>3488879.1</v>
      </c>
      <c r="AD37">
        <v>0.89670000000000005</v>
      </c>
      <c r="AE37">
        <v>1</v>
      </c>
      <c r="AF37">
        <v>10.33</v>
      </c>
    </row>
    <row r="38" spans="1:32" x14ac:dyDescent="0.25">
      <c r="A38">
        <v>10</v>
      </c>
      <c r="B38" t="s">
        <v>73</v>
      </c>
      <c r="C38" t="s">
        <v>74</v>
      </c>
      <c r="D38" t="s">
        <v>8</v>
      </c>
      <c r="E38" t="s">
        <v>88</v>
      </c>
      <c r="F38" t="s">
        <v>8</v>
      </c>
      <c r="H38" t="s">
        <v>97</v>
      </c>
      <c r="I38" t="s">
        <v>82</v>
      </c>
      <c r="J38" t="s">
        <v>98</v>
      </c>
      <c r="K38">
        <v>1282</v>
      </c>
      <c r="L38">
        <v>1282</v>
      </c>
      <c r="M38">
        <v>0</v>
      </c>
      <c r="N38">
        <v>0</v>
      </c>
      <c r="O38">
        <v>0</v>
      </c>
      <c r="P38">
        <v>6692.9</v>
      </c>
      <c r="Q38">
        <v>6913.7</v>
      </c>
      <c r="R38">
        <v>1000</v>
      </c>
      <c r="S38">
        <v>220800</v>
      </c>
      <c r="T38" s="9">
        <v>0</v>
      </c>
      <c r="U38" s="9">
        <v>132000</v>
      </c>
      <c r="V38" s="5">
        <f>Table1[[#This Row],[CONSUMPTION Q=(O-N)*P]]+Table1[[#This Row],[IMPORTED ENERGY]]-Table1[[#This Row],[EXPORTED ENERGY]]</f>
        <v>88800</v>
      </c>
      <c r="W38" s="5">
        <v>79892</v>
      </c>
      <c r="X38" s="5">
        <v>0</v>
      </c>
      <c r="Y38" s="5">
        <v>79892</v>
      </c>
      <c r="Z38" s="11">
        <f>(Table1[[#This Row],[NET CONSUMPTION T=Q+R-S]]-Table1[[#This Row],[TOTAL SALES W=U+V]])/Table1[[#This Row],[NET CONSUMPTION T=Q+R-S]]*100</f>
        <v>10.031531531531531</v>
      </c>
      <c r="AA38">
        <v>10.029999999999999</v>
      </c>
      <c r="AB38">
        <v>883391.13</v>
      </c>
      <c r="AC38">
        <v>844893.61</v>
      </c>
      <c r="AD38">
        <v>0.89970000000000006</v>
      </c>
      <c r="AE38">
        <v>0.95640000000000003</v>
      </c>
      <c r="AF38">
        <v>9.59</v>
      </c>
    </row>
    <row r="39" spans="1:32" x14ac:dyDescent="0.25">
      <c r="A39">
        <v>11</v>
      </c>
      <c r="B39" t="s">
        <v>73</v>
      </c>
      <c r="C39" t="s">
        <v>74</v>
      </c>
      <c r="D39" t="s">
        <v>8</v>
      </c>
      <c r="E39" t="s">
        <v>88</v>
      </c>
      <c r="F39" t="s">
        <v>8</v>
      </c>
      <c r="H39" t="s">
        <v>99</v>
      </c>
      <c r="I39" t="s">
        <v>77</v>
      </c>
      <c r="J39" t="s">
        <v>100</v>
      </c>
      <c r="K39">
        <v>244</v>
      </c>
      <c r="L39">
        <v>244</v>
      </c>
      <c r="M39">
        <v>0</v>
      </c>
      <c r="N39">
        <v>241</v>
      </c>
      <c r="O39">
        <v>0</v>
      </c>
      <c r="P39">
        <v>11605.3</v>
      </c>
      <c r="Q39">
        <v>11924.5</v>
      </c>
      <c r="R39">
        <v>2000</v>
      </c>
      <c r="S39">
        <v>638400</v>
      </c>
      <c r="T39" s="9">
        <v>0</v>
      </c>
      <c r="U39" s="9">
        <v>120000</v>
      </c>
      <c r="V39" s="5">
        <f>Table1[[#This Row],[CONSUMPTION Q=(O-N)*P]]+Table1[[#This Row],[IMPORTED ENERGY]]-Table1[[#This Row],[EXPORTED ENERGY]]</f>
        <v>518400</v>
      </c>
      <c r="W39" s="5">
        <v>29</v>
      </c>
      <c r="X39" s="5">
        <v>469123.77</v>
      </c>
      <c r="Y39" s="5">
        <v>469152.77</v>
      </c>
      <c r="Z39" s="11">
        <f>(Table1[[#This Row],[NET CONSUMPTION T=Q+R-S]]-Table1[[#This Row],[TOTAL SALES W=U+V]])/Table1[[#This Row],[NET CONSUMPTION T=Q+R-S]]*100</f>
        <v>9.4998514660493782</v>
      </c>
      <c r="AA39">
        <v>9.5</v>
      </c>
      <c r="AB39">
        <v>2755051.57</v>
      </c>
      <c r="AC39">
        <v>2754902.57</v>
      </c>
      <c r="AD39">
        <v>0.90500000000000003</v>
      </c>
      <c r="AE39">
        <v>0.99990000000000001</v>
      </c>
      <c r="AF39">
        <v>9.5</v>
      </c>
    </row>
    <row r="40" spans="1:32" x14ac:dyDescent="0.25">
      <c r="A40">
        <v>12</v>
      </c>
      <c r="B40" t="s">
        <v>73</v>
      </c>
      <c r="C40" t="s">
        <v>74</v>
      </c>
      <c r="D40" t="s">
        <v>8</v>
      </c>
      <c r="E40" t="s">
        <v>88</v>
      </c>
      <c r="F40" t="s">
        <v>8</v>
      </c>
      <c r="H40" t="s">
        <v>101</v>
      </c>
      <c r="I40" t="s">
        <v>77</v>
      </c>
      <c r="J40" t="s">
        <v>102</v>
      </c>
      <c r="K40">
        <v>252</v>
      </c>
      <c r="L40">
        <v>252</v>
      </c>
      <c r="M40">
        <v>0</v>
      </c>
      <c r="N40">
        <v>252</v>
      </c>
      <c r="O40">
        <v>0</v>
      </c>
      <c r="P40">
        <v>10554.6</v>
      </c>
      <c r="Q40">
        <v>10769.3</v>
      </c>
      <c r="R40">
        <v>2000</v>
      </c>
      <c r="S40">
        <v>429400</v>
      </c>
      <c r="T40" s="9">
        <v>132000</v>
      </c>
      <c r="U40" s="9">
        <v>0</v>
      </c>
      <c r="V40" s="5">
        <f>Table1[[#This Row],[CONSUMPTION Q=(O-N)*P]]+Table1[[#This Row],[IMPORTED ENERGY]]-Table1[[#This Row],[EXPORTED ENERGY]]</f>
        <v>561400</v>
      </c>
      <c r="W40" s="5">
        <v>0</v>
      </c>
      <c r="X40" s="5">
        <v>500000</v>
      </c>
      <c r="Y40" s="5">
        <v>500000</v>
      </c>
      <c r="Z40" s="11">
        <f>(Table1[[#This Row],[NET CONSUMPTION T=Q+R-S]]-Table1[[#This Row],[TOTAL SALES W=U+V]])/Table1[[#This Row],[NET CONSUMPTION T=Q+R-S]]*100</f>
        <v>10.936943355895973</v>
      </c>
      <c r="AA40">
        <v>10.94</v>
      </c>
      <c r="AB40">
        <v>2935000</v>
      </c>
      <c r="AC40">
        <v>2935000</v>
      </c>
      <c r="AD40">
        <v>0.89059999999999995</v>
      </c>
      <c r="AE40">
        <v>1</v>
      </c>
      <c r="AF40">
        <v>10.94</v>
      </c>
    </row>
    <row r="41" spans="1:32" x14ac:dyDescent="0.25">
      <c r="A41">
        <v>13</v>
      </c>
      <c r="B41" t="s">
        <v>73</v>
      </c>
      <c r="C41" t="s">
        <v>74</v>
      </c>
      <c r="D41" t="s">
        <v>8</v>
      </c>
      <c r="E41" t="s">
        <v>88</v>
      </c>
      <c r="F41" t="s">
        <v>8</v>
      </c>
      <c r="H41" t="s">
        <v>103</v>
      </c>
      <c r="I41" t="s">
        <v>104</v>
      </c>
      <c r="J41" t="s">
        <v>105</v>
      </c>
      <c r="K41">
        <v>4456</v>
      </c>
      <c r="L41">
        <v>4456</v>
      </c>
      <c r="M41">
        <v>0</v>
      </c>
      <c r="N41">
        <v>262</v>
      </c>
      <c r="O41">
        <v>0</v>
      </c>
      <c r="P41">
        <v>21690.9</v>
      </c>
      <c r="Q41">
        <v>22035.8</v>
      </c>
      <c r="R41">
        <v>2000</v>
      </c>
      <c r="S41">
        <v>689800</v>
      </c>
      <c r="T41" s="9">
        <v>0</v>
      </c>
      <c r="U41" s="9">
        <v>0</v>
      </c>
      <c r="V41" s="5">
        <f>Table1[[#This Row],[CONSUMPTION Q=(O-N)*P]]+Table1[[#This Row],[IMPORTED ENERGY]]-Table1[[#This Row],[EXPORTED ENERGY]]</f>
        <v>689800</v>
      </c>
      <c r="W41" s="5">
        <v>311319.09000000003</v>
      </c>
      <c r="X41" s="5">
        <v>437733.35499999998</v>
      </c>
      <c r="Y41" s="5">
        <v>749052.44499999995</v>
      </c>
      <c r="Z41" s="11">
        <f>(Table1[[#This Row],[NET CONSUMPTION T=Q+R-S]]-Table1[[#This Row],[TOTAL SALES W=U+V]])/Table1[[#This Row],[NET CONSUMPTION T=Q+R-S]]*100</f>
        <v>-8.5898006668599525</v>
      </c>
      <c r="AA41">
        <v>-8.59</v>
      </c>
      <c r="AB41">
        <v>5848121.3200000003</v>
      </c>
      <c r="AC41">
        <v>5323335.08</v>
      </c>
      <c r="AD41">
        <v>1.0859000000000001</v>
      </c>
      <c r="AE41">
        <v>0.9103</v>
      </c>
      <c r="AF41">
        <v>-7.82</v>
      </c>
    </row>
    <row r="42" spans="1:32" x14ac:dyDescent="0.25">
      <c r="A42">
        <v>14</v>
      </c>
      <c r="B42" t="s">
        <v>73</v>
      </c>
      <c r="C42" t="s">
        <v>74</v>
      </c>
      <c r="D42" t="s">
        <v>8</v>
      </c>
      <c r="E42" t="s">
        <v>88</v>
      </c>
      <c r="F42" t="s">
        <v>8</v>
      </c>
      <c r="H42" t="s">
        <v>106</v>
      </c>
      <c r="I42" t="s">
        <v>77</v>
      </c>
      <c r="J42" t="s">
        <v>107</v>
      </c>
      <c r="K42">
        <v>324</v>
      </c>
      <c r="L42">
        <v>324</v>
      </c>
      <c r="M42">
        <v>0</v>
      </c>
      <c r="N42">
        <v>321</v>
      </c>
      <c r="O42">
        <v>0</v>
      </c>
      <c r="P42">
        <v>7544.7</v>
      </c>
      <c r="Q42">
        <v>7655.2</v>
      </c>
      <c r="R42">
        <v>4000</v>
      </c>
      <c r="S42">
        <v>442000</v>
      </c>
      <c r="T42" s="9">
        <v>50000</v>
      </c>
      <c r="U42" s="9">
        <v>0</v>
      </c>
      <c r="V42" s="5">
        <f>Table1[[#This Row],[CONSUMPTION Q=(O-N)*P]]+Table1[[#This Row],[IMPORTED ENERGY]]-Table1[[#This Row],[EXPORTED ENERGY]]</f>
        <v>492000</v>
      </c>
      <c r="W42" s="5">
        <v>39</v>
      </c>
      <c r="X42" s="5">
        <v>445221.92099999997</v>
      </c>
      <c r="Y42" s="5">
        <v>445260.92099999997</v>
      </c>
      <c r="Z42" s="11">
        <f>(Table1[[#This Row],[NET CONSUMPTION T=Q+R-S]]-Table1[[#This Row],[TOTAL SALES W=U+V]])/Table1[[#This Row],[NET CONSUMPTION T=Q+R-S]]*100</f>
        <v>9.4998128048780544</v>
      </c>
      <c r="AA42">
        <v>9.5</v>
      </c>
      <c r="AB42">
        <v>2614090.71</v>
      </c>
      <c r="AC42">
        <v>2613611.71</v>
      </c>
      <c r="AD42">
        <v>0.90500000000000003</v>
      </c>
      <c r="AE42">
        <v>0.99980000000000002</v>
      </c>
      <c r="AF42">
        <v>9.5</v>
      </c>
    </row>
    <row r="43" spans="1:32" x14ac:dyDescent="0.25">
      <c r="A43">
        <v>15</v>
      </c>
      <c r="B43" t="s">
        <v>73</v>
      </c>
      <c r="C43" t="s">
        <v>74</v>
      </c>
      <c r="D43" t="s">
        <v>8</v>
      </c>
      <c r="E43" t="s">
        <v>88</v>
      </c>
      <c r="F43" t="s">
        <v>8</v>
      </c>
      <c r="H43" t="s">
        <v>108</v>
      </c>
      <c r="I43" t="s">
        <v>77</v>
      </c>
      <c r="J43" t="s">
        <v>109</v>
      </c>
      <c r="K43">
        <v>277</v>
      </c>
      <c r="L43">
        <v>277</v>
      </c>
      <c r="M43">
        <v>0</v>
      </c>
      <c r="N43">
        <v>276</v>
      </c>
      <c r="O43">
        <v>0</v>
      </c>
      <c r="P43">
        <v>7915</v>
      </c>
      <c r="Q43">
        <v>8073.9</v>
      </c>
      <c r="R43">
        <v>4000</v>
      </c>
      <c r="S43">
        <v>635600</v>
      </c>
      <c r="T43" s="9">
        <v>0</v>
      </c>
      <c r="U43" s="9">
        <v>50000</v>
      </c>
      <c r="V43" s="5">
        <f>Table1[[#This Row],[CONSUMPTION Q=(O-N)*P]]+Table1[[#This Row],[IMPORTED ENERGY]]-Table1[[#This Row],[EXPORTED ENERGY]]</f>
        <v>585600</v>
      </c>
      <c r="W43" s="5">
        <v>13</v>
      </c>
      <c r="X43" s="5">
        <v>529956.02800000005</v>
      </c>
      <c r="Y43" s="5">
        <v>529969.02800000005</v>
      </c>
      <c r="Z43" s="11">
        <f>(Table1[[#This Row],[NET CONSUMPTION T=Q+R-S]]-Table1[[#This Row],[TOTAL SALES W=U+V]])/Table1[[#This Row],[NET CONSUMPTION T=Q+R-S]]*100</f>
        <v>9.4998244535519039</v>
      </c>
      <c r="AA43">
        <v>9.5</v>
      </c>
      <c r="AB43">
        <v>3111052.6</v>
      </c>
      <c r="AC43">
        <v>3111047.6</v>
      </c>
      <c r="AD43">
        <v>0.90500000000000003</v>
      </c>
      <c r="AE43">
        <v>1</v>
      </c>
      <c r="AF43">
        <v>9.5</v>
      </c>
    </row>
    <row r="44" spans="1:32" x14ac:dyDescent="0.25">
      <c r="A44">
        <v>16</v>
      </c>
      <c r="B44" t="s">
        <v>73</v>
      </c>
      <c r="C44" t="s">
        <v>74</v>
      </c>
      <c r="D44" t="s">
        <v>8</v>
      </c>
      <c r="E44" t="s">
        <v>88</v>
      </c>
      <c r="F44" t="s">
        <v>8</v>
      </c>
      <c r="H44" t="s">
        <v>110</v>
      </c>
      <c r="I44" t="s">
        <v>77</v>
      </c>
      <c r="J44" t="s">
        <v>111</v>
      </c>
      <c r="K44">
        <v>346</v>
      </c>
      <c r="L44">
        <v>346</v>
      </c>
      <c r="M44">
        <v>0</v>
      </c>
      <c r="N44">
        <v>342</v>
      </c>
      <c r="O44">
        <v>0</v>
      </c>
      <c r="P44">
        <v>7940.8</v>
      </c>
      <c r="Q44">
        <v>7977.9</v>
      </c>
      <c r="R44">
        <v>4000</v>
      </c>
      <c r="S44">
        <v>148400</v>
      </c>
      <c r="T44" s="9">
        <v>377000</v>
      </c>
      <c r="U44" s="9">
        <v>0</v>
      </c>
      <c r="V44" s="5">
        <f>Table1[[#This Row],[CONSUMPTION Q=(O-N)*P]]+Table1[[#This Row],[IMPORTED ENERGY]]-Table1[[#This Row],[EXPORTED ENERGY]]</f>
        <v>525400</v>
      </c>
      <c r="W44" s="5">
        <v>139</v>
      </c>
      <c r="X44" s="5">
        <v>483403.37</v>
      </c>
      <c r="Y44" s="5">
        <v>483542.37</v>
      </c>
      <c r="Z44" s="11">
        <f>(Table1[[#This Row],[NET CONSUMPTION T=Q+R-S]]-Table1[[#This Row],[TOTAL SALES W=U+V]])/Table1[[#This Row],[NET CONSUMPTION T=Q+R-S]]*100</f>
        <v>7.9668119527978698</v>
      </c>
      <c r="AA44">
        <v>7.97</v>
      </c>
      <c r="AB44">
        <v>2838987.48</v>
      </c>
      <c r="AC44">
        <v>2847982.48</v>
      </c>
      <c r="AD44">
        <v>0.92030000000000001</v>
      </c>
      <c r="AE44">
        <v>1.0032000000000001</v>
      </c>
      <c r="AF44">
        <v>8</v>
      </c>
    </row>
    <row r="45" spans="1:32" x14ac:dyDescent="0.25">
      <c r="A45">
        <v>17</v>
      </c>
      <c r="B45" t="s">
        <v>73</v>
      </c>
      <c r="C45" t="s">
        <v>74</v>
      </c>
      <c r="D45" t="s">
        <v>8</v>
      </c>
      <c r="E45" t="s">
        <v>88</v>
      </c>
      <c r="F45" t="s">
        <v>8</v>
      </c>
      <c r="H45" t="s">
        <v>112</v>
      </c>
      <c r="I45" t="s">
        <v>82</v>
      </c>
      <c r="J45" t="s">
        <v>113</v>
      </c>
      <c r="K45">
        <v>1571</v>
      </c>
      <c r="L45">
        <v>1571</v>
      </c>
      <c r="M45">
        <v>0</v>
      </c>
      <c r="N45">
        <v>0</v>
      </c>
      <c r="O45">
        <v>0</v>
      </c>
      <c r="P45">
        <v>5354.9</v>
      </c>
      <c r="Q45">
        <v>5440.2</v>
      </c>
      <c r="R45">
        <v>2000</v>
      </c>
      <c r="S45">
        <v>170600</v>
      </c>
      <c r="T45" s="9">
        <v>0</v>
      </c>
      <c r="U45" s="9">
        <v>16000</v>
      </c>
      <c r="V45" s="5">
        <f>Table1[[#This Row],[CONSUMPTION Q=(O-N)*P]]+Table1[[#This Row],[IMPORTED ENERGY]]-Table1[[#This Row],[EXPORTED ENERGY]]</f>
        <v>154600</v>
      </c>
      <c r="W45" s="5">
        <v>140578.1</v>
      </c>
      <c r="X45" s="5">
        <v>0</v>
      </c>
      <c r="Y45" s="5">
        <v>140578.1</v>
      </c>
      <c r="Z45" s="11">
        <f>(Table1[[#This Row],[NET CONSUMPTION T=Q+R-S]]-Table1[[#This Row],[TOTAL SALES W=U+V]])/Table1[[#This Row],[NET CONSUMPTION T=Q+R-S]]*100</f>
        <v>9.0697930142302674</v>
      </c>
      <c r="AA45">
        <v>9.07</v>
      </c>
      <c r="AB45">
        <v>1341853.69</v>
      </c>
      <c r="AC45">
        <v>1001944.63</v>
      </c>
      <c r="AD45">
        <v>0.9093</v>
      </c>
      <c r="AE45">
        <v>0.74670000000000003</v>
      </c>
      <c r="AF45">
        <v>6.77</v>
      </c>
    </row>
    <row r="46" spans="1:32" x14ac:dyDescent="0.25">
      <c r="A46">
        <v>18</v>
      </c>
      <c r="B46" t="s">
        <v>73</v>
      </c>
      <c r="C46" t="s">
        <v>74</v>
      </c>
      <c r="D46" t="s">
        <v>8</v>
      </c>
      <c r="E46" t="s">
        <v>88</v>
      </c>
      <c r="F46" t="s">
        <v>8</v>
      </c>
      <c r="H46" t="s">
        <v>114</v>
      </c>
      <c r="I46" t="s">
        <v>77</v>
      </c>
      <c r="J46" t="s">
        <v>115</v>
      </c>
      <c r="K46">
        <v>318</v>
      </c>
      <c r="L46">
        <v>318</v>
      </c>
      <c r="M46">
        <v>0</v>
      </c>
      <c r="N46">
        <v>313</v>
      </c>
      <c r="O46">
        <v>0</v>
      </c>
      <c r="P46">
        <v>1051.4000000000001</v>
      </c>
      <c r="Q46">
        <v>1160.5</v>
      </c>
      <c r="R46">
        <v>2000</v>
      </c>
      <c r="S46">
        <v>218200</v>
      </c>
      <c r="T46" s="9">
        <v>73000</v>
      </c>
      <c r="U46" s="9">
        <v>0</v>
      </c>
      <c r="V46" s="5">
        <f>Table1[[#This Row],[CONSUMPTION Q=(O-N)*P]]+Table1[[#This Row],[IMPORTED ENERGY]]-Table1[[#This Row],[EXPORTED ENERGY]]</f>
        <v>291200</v>
      </c>
      <c r="W46" s="5">
        <v>169</v>
      </c>
      <c r="X46" s="5">
        <v>264573.00300000003</v>
      </c>
      <c r="Y46" s="5">
        <v>264742.00300000003</v>
      </c>
      <c r="Z46" s="11">
        <f>(Table1[[#This Row],[NET CONSUMPTION T=Q+R-S]]-Table1[[#This Row],[TOTAL SALES W=U+V]])/Table1[[#This Row],[NET CONSUMPTION T=Q+R-S]]*100</f>
        <v>9.0858506181318592</v>
      </c>
      <c r="AA46">
        <v>9.09</v>
      </c>
      <c r="AB46">
        <v>1555521.86</v>
      </c>
      <c r="AC46">
        <v>1555035.86</v>
      </c>
      <c r="AD46">
        <v>0.90910000000000002</v>
      </c>
      <c r="AE46">
        <v>0.99970000000000003</v>
      </c>
      <c r="AF46">
        <v>9.09</v>
      </c>
    </row>
    <row r="47" spans="1:32" x14ac:dyDescent="0.25">
      <c r="A47">
        <v>19</v>
      </c>
      <c r="B47" t="s">
        <v>73</v>
      </c>
      <c r="C47" t="s">
        <v>74</v>
      </c>
      <c r="D47" t="s">
        <v>8</v>
      </c>
      <c r="E47" t="s">
        <v>88</v>
      </c>
      <c r="F47" t="s">
        <v>8</v>
      </c>
      <c r="H47" t="s">
        <v>116</v>
      </c>
      <c r="I47" t="s">
        <v>82</v>
      </c>
      <c r="J47" t="s">
        <v>117</v>
      </c>
      <c r="K47">
        <v>1838</v>
      </c>
      <c r="L47">
        <v>1838</v>
      </c>
      <c r="M47">
        <v>0</v>
      </c>
      <c r="N47">
        <v>0</v>
      </c>
      <c r="O47">
        <v>0</v>
      </c>
      <c r="P47">
        <v>11288.7</v>
      </c>
      <c r="Q47">
        <v>11506.1</v>
      </c>
      <c r="R47">
        <v>1000</v>
      </c>
      <c r="S47">
        <v>217400</v>
      </c>
      <c r="T47" s="9">
        <v>0</v>
      </c>
      <c r="U47" s="9">
        <v>73000</v>
      </c>
      <c r="V47" s="5">
        <f>Table1[[#This Row],[CONSUMPTION Q=(O-N)*P]]+Table1[[#This Row],[IMPORTED ENERGY]]-Table1[[#This Row],[EXPORTED ENERGY]]</f>
        <v>144400</v>
      </c>
      <c r="W47" s="5">
        <v>129806.23</v>
      </c>
      <c r="X47" s="5">
        <v>0</v>
      </c>
      <c r="Y47" s="5">
        <v>129806.23</v>
      </c>
      <c r="Z47" s="11">
        <f>(Table1[[#This Row],[NET CONSUMPTION T=Q+R-S]]-Table1[[#This Row],[TOTAL SALES W=U+V]])/Table1[[#This Row],[NET CONSUMPTION T=Q+R-S]]*100</f>
        <v>10.106488919667592</v>
      </c>
      <c r="AA47">
        <v>10.11</v>
      </c>
      <c r="AB47">
        <v>1379957.91</v>
      </c>
      <c r="AC47">
        <v>1114580.1499999999</v>
      </c>
      <c r="AD47">
        <v>0.89890000000000003</v>
      </c>
      <c r="AE47">
        <v>0.80769999999999997</v>
      </c>
      <c r="AF47">
        <v>8.17</v>
      </c>
    </row>
    <row r="48" spans="1:32" x14ac:dyDescent="0.25">
      <c r="A48">
        <v>43</v>
      </c>
      <c r="B48" t="s">
        <v>73</v>
      </c>
      <c r="C48" t="s">
        <v>74</v>
      </c>
      <c r="D48" t="s">
        <v>8</v>
      </c>
      <c r="E48" t="s">
        <v>167</v>
      </c>
      <c r="F48" t="s">
        <v>8</v>
      </c>
      <c r="H48" t="s">
        <v>168</v>
      </c>
      <c r="I48" t="s">
        <v>77</v>
      </c>
      <c r="J48" t="s">
        <v>169</v>
      </c>
      <c r="K48">
        <v>339</v>
      </c>
      <c r="L48">
        <v>339</v>
      </c>
      <c r="M48">
        <v>0</v>
      </c>
      <c r="N48">
        <v>334</v>
      </c>
      <c r="O48">
        <v>0</v>
      </c>
      <c r="P48">
        <v>9094.5</v>
      </c>
      <c r="Q48">
        <v>9269.7999999999993</v>
      </c>
      <c r="R48">
        <v>2000</v>
      </c>
      <c r="S48">
        <v>350600</v>
      </c>
      <c r="T48" s="9">
        <v>360000</v>
      </c>
      <c r="U48" s="9">
        <v>0</v>
      </c>
      <c r="V48" s="5">
        <f>Table1[[#This Row],[CONSUMPTION Q=(O-N)*P]]+Table1[[#This Row],[IMPORTED ENERGY]]-Table1[[#This Row],[EXPORTED ENERGY]]</f>
        <v>710600</v>
      </c>
      <c r="W48" s="5">
        <v>1611</v>
      </c>
      <c r="X48" s="5">
        <v>641482.74</v>
      </c>
      <c r="Y48" s="5">
        <v>643093.74</v>
      </c>
      <c r="Z48" s="11">
        <f>(Table1[[#This Row],[NET CONSUMPTION T=Q+R-S]]-Table1[[#This Row],[TOTAL SALES W=U+V]])/Table1[[#This Row],[NET CONSUMPTION T=Q+R-S]]*100</f>
        <v>9.4998958626512824</v>
      </c>
      <c r="AA48">
        <v>9.5</v>
      </c>
      <c r="AB48">
        <v>3789052.69</v>
      </c>
      <c r="AC48">
        <v>3792687.69</v>
      </c>
      <c r="AD48">
        <v>0.90500000000000003</v>
      </c>
      <c r="AE48">
        <v>1.0009999999999999</v>
      </c>
      <c r="AF48">
        <v>9.51</v>
      </c>
    </row>
    <row r="49" spans="1:32" x14ac:dyDescent="0.25">
      <c r="A49">
        <v>44</v>
      </c>
      <c r="B49" t="s">
        <v>73</v>
      </c>
      <c r="C49" t="s">
        <v>74</v>
      </c>
      <c r="D49" t="s">
        <v>8</v>
      </c>
      <c r="E49" t="s">
        <v>167</v>
      </c>
      <c r="F49" t="s">
        <v>8</v>
      </c>
      <c r="H49" t="s">
        <v>170</v>
      </c>
      <c r="I49" t="s">
        <v>77</v>
      </c>
      <c r="J49" t="s">
        <v>171</v>
      </c>
      <c r="K49">
        <v>264</v>
      </c>
      <c r="L49">
        <v>264</v>
      </c>
      <c r="M49">
        <v>0</v>
      </c>
      <c r="N49">
        <v>248</v>
      </c>
      <c r="O49">
        <v>0</v>
      </c>
      <c r="P49">
        <v>7794</v>
      </c>
      <c r="Q49">
        <v>8022.2</v>
      </c>
      <c r="R49">
        <v>2000</v>
      </c>
      <c r="S49">
        <v>456400</v>
      </c>
      <c r="T49" s="9">
        <v>90000</v>
      </c>
      <c r="U49" s="9">
        <v>0</v>
      </c>
      <c r="V49" s="5">
        <f>Table1[[#This Row],[CONSUMPTION Q=(O-N)*P]]+Table1[[#This Row],[IMPORTED ENERGY]]-Table1[[#This Row],[EXPORTED ENERGY]]</f>
        <v>546400</v>
      </c>
      <c r="W49" s="5">
        <v>341</v>
      </c>
      <c r="X49" s="5">
        <v>475957.99</v>
      </c>
      <c r="Y49" s="5">
        <v>476298.99</v>
      </c>
      <c r="Z49" s="11">
        <f>(Table1[[#This Row],[NET CONSUMPTION T=Q+R-S]]-Table1[[#This Row],[TOTAL SALES W=U+V]])/Table1[[#This Row],[NET CONSUMPTION T=Q+R-S]]*100</f>
        <v>12.82961383601757</v>
      </c>
      <c r="AA49">
        <v>12.83</v>
      </c>
      <c r="AB49">
        <v>2798118.05</v>
      </c>
      <c r="AC49">
        <v>2797971.05</v>
      </c>
      <c r="AD49">
        <v>0.87170000000000003</v>
      </c>
      <c r="AE49">
        <v>0.99990000000000001</v>
      </c>
      <c r="AF49">
        <v>12.83</v>
      </c>
    </row>
    <row r="50" spans="1:32" x14ac:dyDescent="0.25">
      <c r="A50">
        <v>45</v>
      </c>
      <c r="B50" t="s">
        <v>73</v>
      </c>
      <c r="C50" t="s">
        <v>74</v>
      </c>
      <c r="D50" t="s">
        <v>8</v>
      </c>
      <c r="E50" t="s">
        <v>167</v>
      </c>
      <c r="F50" t="s">
        <v>8</v>
      </c>
      <c r="H50" t="s">
        <v>172</v>
      </c>
      <c r="I50" t="s">
        <v>82</v>
      </c>
      <c r="J50" t="s">
        <v>173</v>
      </c>
      <c r="K50">
        <v>493</v>
      </c>
      <c r="L50">
        <v>493</v>
      </c>
      <c r="M50">
        <v>0</v>
      </c>
      <c r="N50">
        <v>2</v>
      </c>
      <c r="O50">
        <v>0</v>
      </c>
      <c r="P50">
        <v>25531.3</v>
      </c>
      <c r="Q50">
        <v>25790.799999999999</v>
      </c>
      <c r="R50">
        <v>250</v>
      </c>
      <c r="S50">
        <v>64875</v>
      </c>
      <c r="T50" s="9">
        <v>0</v>
      </c>
      <c r="U50" s="9">
        <v>0</v>
      </c>
      <c r="V50" s="5">
        <f>Table1[[#This Row],[CONSUMPTION Q=(O-N)*P]]+Table1[[#This Row],[IMPORTED ENERGY]]-Table1[[#This Row],[EXPORTED ENERGY]]</f>
        <v>64875</v>
      </c>
      <c r="W50" s="5">
        <v>22589</v>
      </c>
      <c r="X50" s="5">
        <v>3911.25</v>
      </c>
      <c r="Y50" s="5">
        <v>26500.25</v>
      </c>
      <c r="Z50" s="11">
        <f>(Table1[[#This Row],[NET CONSUMPTION T=Q+R-S]]-Table1[[#This Row],[TOTAL SALES W=U+V]])/Table1[[#This Row],[NET CONSUMPTION T=Q+R-S]]*100</f>
        <v>59.151830443159923</v>
      </c>
      <c r="AA50">
        <v>59.15</v>
      </c>
      <c r="AB50">
        <v>290839.87</v>
      </c>
      <c r="AC50">
        <v>218753.87</v>
      </c>
      <c r="AD50">
        <v>0.40849999999999997</v>
      </c>
      <c r="AE50">
        <v>0.75209999999999999</v>
      </c>
      <c r="AF50">
        <v>44.49</v>
      </c>
    </row>
    <row r="51" spans="1:32" x14ac:dyDescent="0.25">
      <c r="A51">
        <v>46</v>
      </c>
      <c r="B51" t="s">
        <v>73</v>
      </c>
      <c r="C51" t="s">
        <v>74</v>
      </c>
      <c r="D51" t="s">
        <v>8</v>
      </c>
      <c r="E51" t="s">
        <v>167</v>
      </c>
      <c r="F51" t="s">
        <v>8</v>
      </c>
      <c r="H51" t="s">
        <v>174</v>
      </c>
      <c r="I51" t="s">
        <v>82</v>
      </c>
      <c r="J51" t="s">
        <v>175</v>
      </c>
      <c r="K51">
        <v>1932</v>
      </c>
      <c r="L51">
        <v>1932</v>
      </c>
      <c r="M51">
        <v>0</v>
      </c>
      <c r="N51">
        <v>0</v>
      </c>
      <c r="O51">
        <v>0</v>
      </c>
      <c r="P51">
        <v>16803.3</v>
      </c>
      <c r="Q51">
        <v>17119.8</v>
      </c>
      <c r="R51">
        <v>1000</v>
      </c>
      <c r="S51">
        <v>316500</v>
      </c>
      <c r="T51" s="9">
        <v>0</v>
      </c>
      <c r="U51" s="9">
        <v>216000</v>
      </c>
      <c r="V51" s="5">
        <f>Table1[[#This Row],[CONSUMPTION Q=(O-N)*P]]+Table1[[#This Row],[IMPORTED ENERGY]]-Table1[[#This Row],[EXPORTED ENERGY]]</f>
        <v>100500</v>
      </c>
      <c r="W51" s="5">
        <v>96031</v>
      </c>
      <c r="X51" s="5">
        <v>0</v>
      </c>
      <c r="Y51" s="5">
        <v>96031</v>
      </c>
      <c r="Z51" s="11">
        <f>(Table1[[#This Row],[NET CONSUMPTION T=Q+R-S]]-Table1[[#This Row],[TOTAL SALES W=U+V]])/Table1[[#This Row],[NET CONSUMPTION T=Q+R-S]]*100</f>
        <v>4.4467661691542286</v>
      </c>
      <c r="AA51">
        <v>4.45</v>
      </c>
      <c r="AB51">
        <v>1141340.33</v>
      </c>
      <c r="AC51">
        <v>920397.26</v>
      </c>
      <c r="AD51">
        <v>0.95550000000000002</v>
      </c>
      <c r="AE51">
        <v>0.80640000000000001</v>
      </c>
      <c r="AF51">
        <v>3.59</v>
      </c>
    </row>
    <row r="52" spans="1:32" x14ac:dyDescent="0.25">
      <c r="A52">
        <v>47</v>
      </c>
      <c r="B52" t="s">
        <v>73</v>
      </c>
      <c r="C52" t="s">
        <v>74</v>
      </c>
      <c r="D52" t="s">
        <v>8</v>
      </c>
      <c r="E52" t="s">
        <v>167</v>
      </c>
      <c r="F52" t="s">
        <v>8</v>
      </c>
      <c r="H52" t="s">
        <v>176</v>
      </c>
      <c r="I52" t="s">
        <v>77</v>
      </c>
      <c r="J52" t="s">
        <v>177</v>
      </c>
      <c r="K52">
        <v>252</v>
      </c>
      <c r="L52">
        <v>252</v>
      </c>
      <c r="M52">
        <v>0</v>
      </c>
      <c r="N52">
        <v>246</v>
      </c>
      <c r="O52">
        <v>0</v>
      </c>
      <c r="P52">
        <v>273.3</v>
      </c>
      <c r="Q52">
        <v>576.4</v>
      </c>
      <c r="R52">
        <v>2000</v>
      </c>
      <c r="S52">
        <v>606200</v>
      </c>
      <c r="T52" s="9">
        <v>0</v>
      </c>
      <c r="U52" s="9">
        <v>70000</v>
      </c>
      <c r="V52" s="5">
        <f>Table1[[#This Row],[CONSUMPTION Q=(O-N)*P]]+Table1[[#This Row],[IMPORTED ENERGY]]-Table1[[#This Row],[EXPORTED ENERGY]]</f>
        <v>536200</v>
      </c>
      <c r="W52" s="5">
        <v>872</v>
      </c>
      <c r="X52" s="5">
        <v>484389.71600000001</v>
      </c>
      <c r="Y52" s="5">
        <v>485261.71600000001</v>
      </c>
      <c r="Z52" s="11">
        <f>(Table1[[#This Row],[NET CONSUMPTION T=Q+R-S]]-Table1[[#This Row],[TOTAL SALES W=U+V]])/Table1[[#This Row],[NET CONSUMPTION T=Q+R-S]]*100</f>
        <v>9.4998664677359166</v>
      </c>
      <c r="AA52">
        <v>9.5</v>
      </c>
      <c r="AB52">
        <v>2851923.68</v>
      </c>
      <c r="AC52">
        <v>2845876.68</v>
      </c>
      <c r="AD52">
        <v>0.90500000000000003</v>
      </c>
      <c r="AE52">
        <v>0.99790000000000001</v>
      </c>
      <c r="AF52">
        <v>9.48</v>
      </c>
    </row>
    <row r="53" spans="1:32" x14ac:dyDescent="0.25">
      <c r="A53">
        <v>48</v>
      </c>
      <c r="B53" t="s">
        <v>73</v>
      </c>
      <c r="C53" t="s">
        <v>74</v>
      </c>
      <c r="D53" t="s">
        <v>8</v>
      </c>
      <c r="E53" t="s">
        <v>167</v>
      </c>
      <c r="F53" t="s">
        <v>8</v>
      </c>
      <c r="H53" t="s">
        <v>178</v>
      </c>
      <c r="I53" t="s">
        <v>77</v>
      </c>
      <c r="J53" t="s">
        <v>179</v>
      </c>
      <c r="K53">
        <v>295</v>
      </c>
      <c r="L53">
        <v>295</v>
      </c>
      <c r="M53">
        <v>0</v>
      </c>
      <c r="N53">
        <v>295</v>
      </c>
      <c r="O53">
        <v>0</v>
      </c>
      <c r="P53">
        <v>3048.4</v>
      </c>
      <c r="Q53">
        <v>3242.6</v>
      </c>
      <c r="R53">
        <v>2000</v>
      </c>
      <c r="S53">
        <v>388400</v>
      </c>
      <c r="T53" s="9">
        <v>311000</v>
      </c>
      <c r="U53" s="9">
        <v>0</v>
      </c>
      <c r="V53" s="5">
        <f>Table1[[#This Row],[CONSUMPTION Q=(O-N)*P]]+Table1[[#This Row],[IMPORTED ENERGY]]-Table1[[#This Row],[EXPORTED ENERGY]]</f>
        <v>699400</v>
      </c>
      <c r="W53" s="5">
        <v>0</v>
      </c>
      <c r="X53" s="5">
        <v>567498.80000000005</v>
      </c>
      <c r="Y53" s="5">
        <v>567498.80000000005</v>
      </c>
      <c r="Z53" s="11">
        <f>(Table1[[#This Row],[NET CONSUMPTION T=Q+R-S]]-Table1[[#This Row],[TOTAL SALES W=U+V]])/Table1[[#This Row],[NET CONSUMPTION T=Q+R-S]]*100</f>
        <v>18.859193594509573</v>
      </c>
      <c r="AA53">
        <v>18.86</v>
      </c>
      <c r="AB53">
        <v>3331217.94</v>
      </c>
      <c r="AC53">
        <v>3331217.94</v>
      </c>
      <c r="AD53">
        <v>0.81140000000000001</v>
      </c>
      <c r="AE53">
        <v>1</v>
      </c>
      <c r="AF53">
        <v>18.86</v>
      </c>
    </row>
    <row r="54" spans="1:32" x14ac:dyDescent="0.25">
      <c r="A54">
        <v>49</v>
      </c>
      <c r="B54" t="s">
        <v>73</v>
      </c>
      <c r="C54" t="s">
        <v>74</v>
      </c>
      <c r="D54" t="s">
        <v>8</v>
      </c>
      <c r="E54" t="s">
        <v>167</v>
      </c>
      <c r="F54" t="s">
        <v>8</v>
      </c>
      <c r="H54" t="s">
        <v>180</v>
      </c>
      <c r="I54" t="s">
        <v>77</v>
      </c>
      <c r="J54" t="s">
        <v>181</v>
      </c>
      <c r="K54">
        <v>113</v>
      </c>
      <c r="L54">
        <v>113</v>
      </c>
      <c r="M54">
        <v>0</v>
      </c>
      <c r="N54">
        <v>112</v>
      </c>
      <c r="O54">
        <v>0</v>
      </c>
      <c r="P54">
        <v>364.3</v>
      </c>
      <c r="Q54">
        <v>593.20000000000005</v>
      </c>
      <c r="R54">
        <v>2000</v>
      </c>
      <c r="S54">
        <v>457800</v>
      </c>
      <c r="T54" s="9">
        <v>0</v>
      </c>
      <c r="U54" s="9">
        <v>215000</v>
      </c>
      <c r="V54" s="5">
        <f>Table1[[#This Row],[CONSUMPTION Q=(O-N)*P]]+Table1[[#This Row],[IMPORTED ENERGY]]-Table1[[#This Row],[EXPORTED ENERGY]]</f>
        <v>242800</v>
      </c>
      <c r="W54" s="5">
        <v>38</v>
      </c>
      <c r="X54" s="5">
        <v>219146.76199999999</v>
      </c>
      <c r="Y54" s="5">
        <v>219184.76199999999</v>
      </c>
      <c r="Z54" s="11">
        <f>(Table1[[#This Row],[NET CONSUMPTION T=Q+R-S]]-Table1[[#This Row],[TOTAL SALES W=U+V]])/Table1[[#This Row],[NET CONSUMPTION T=Q+R-S]]*100</f>
        <v>9.7262100494233987</v>
      </c>
      <c r="AA54">
        <v>9.73</v>
      </c>
      <c r="AB54">
        <v>1286767.2</v>
      </c>
      <c r="AC54">
        <v>1286764.2</v>
      </c>
      <c r="AD54">
        <v>0.90269999999999995</v>
      </c>
      <c r="AE54">
        <v>1</v>
      </c>
      <c r="AF54">
        <v>9.73</v>
      </c>
    </row>
    <row r="55" spans="1:32" x14ac:dyDescent="0.25">
      <c r="A55">
        <v>50</v>
      </c>
      <c r="B55" t="s">
        <v>73</v>
      </c>
      <c r="C55" t="s">
        <v>74</v>
      </c>
      <c r="D55" t="s">
        <v>8</v>
      </c>
      <c r="E55" t="s">
        <v>167</v>
      </c>
      <c r="F55" t="s">
        <v>8</v>
      </c>
      <c r="H55" t="s">
        <v>182</v>
      </c>
      <c r="I55" t="s">
        <v>77</v>
      </c>
      <c r="J55" t="s">
        <v>183</v>
      </c>
      <c r="K55">
        <v>113</v>
      </c>
      <c r="L55">
        <v>113</v>
      </c>
      <c r="M55">
        <v>0</v>
      </c>
      <c r="N55">
        <v>113</v>
      </c>
      <c r="O55">
        <v>0</v>
      </c>
      <c r="P55">
        <v>151.80000000000001</v>
      </c>
      <c r="Q55">
        <v>355.5</v>
      </c>
      <c r="R55">
        <v>2000</v>
      </c>
      <c r="S55">
        <v>407400</v>
      </c>
      <c r="T55" s="9">
        <v>0</v>
      </c>
      <c r="U55" s="9">
        <v>160000</v>
      </c>
      <c r="V55" s="5">
        <f>Table1[[#This Row],[CONSUMPTION Q=(O-N)*P]]+Table1[[#This Row],[IMPORTED ENERGY]]-Table1[[#This Row],[EXPORTED ENERGY]]</f>
        <v>247400</v>
      </c>
      <c r="W55" s="5">
        <v>0</v>
      </c>
      <c r="X55" s="5">
        <v>222000</v>
      </c>
      <c r="Y55" s="5">
        <v>222000</v>
      </c>
      <c r="Z55" s="11">
        <f>(Table1[[#This Row],[NET CONSUMPTION T=Q+R-S]]-Table1[[#This Row],[TOTAL SALES W=U+V]])/Table1[[#This Row],[NET CONSUMPTION T=Q+R-S]]*100</f>
        <v>10.266774454324979</v>
      </c>
      <c r="AA55">
        <v>10.27</v>
      </c>
      <c r="AB55">
        <v>1303140</v>
      </c>
      <c r="AC55">
        <v>1303140</v>
      </c>
      <c r="AD55">
        <v>0.89729999999999999</v>
      </c>
      <c r="AE55">
        <v>1</v>
      </c>
      <c r="AF55">
        <v>10.27</v>
      </c>
    </row>
    <row r="56" spans="1:32" x14ac:dyDescent="0.25">
      <c r="A56">
        <v>51</v>
      </c>
      <c r="B56" t="s">
        <v>73</v>
      </c>
      <c r="C56" t="s">
        <v>74</v>
      </c>
      <c r="D56" t="s">
        <v>8</v>
      </c>
      <c r="E56" t="s">
        <v>167</v>
      </c>
      <c r="F56" t="s">
        <v>8</v>
      </c>
      <c r="H56" t="s">
        <v>184</v>
      </c>
      <c r="I56" t="s">
        <v>77</v>
      </c>
      <c r="J56" t="s">
        <v>185</v>
      </c>
      <c r="K56">
        <v>81</v>
      </c>
      <c r="L56">
        <v>81</v>
      </c>
      <c r="M56">
        <v>0</v>
      </c>
      <c r="N56">
        <v>81</v>
      </c>
      <c r="O56">
        <v>0</v>
      </c>
      <c r="P56">
        <v>393.5</v>
      </c>
      <c r="Q56">
        <v>578.20000000000005</v>
      </c>
      <c r="R56">
        <v>2000</v>
      </c>
      <c r="S56">
        <v>369400</v>
      </c>
      <c r="T56" s="9">
        <v>0</v>
      </c>
      <c r="U56" s="9">
        <v>200000</v>
      </c>
      <c r="V56" s="5">
        <f>Table1[[#This Row],[CONSUMPTION Q=(O-N)*P]]+Table1[[#This Row],[IMPORTED ENERGY]]-Table1[[#This Row],[EXPORTED ENERGY]]</f>
        <v>169400</v>
      </c>
      <c r="W56" s="5">
        <v>0</v>
      </c>
      <c r="X56" s="5">
        <v>150600</v>
      </c>
      <c r="Y56" s="5">
        <v>150600</v>
      </c>
      <c r="Z56" s="11">
        <f>(Table1[[#This Row],[NET CONSUMPTION T=Q+R-S]]-Table1[[#This Row],[TOTAL SALES W=U+V]])/Table1[[#This Row],[NET CONSUMPTION T=Q+R-S]]*100</f>
        <v>11.097992916174734</v>
      </c>
      <c r="AA56">
        <v>11.1</v>
      </c>
      <c r="AB56">
        <v>884022</v>
      </c>
      <c r="AC56">
        <v>884022</v>
      </c>
      <c r="AD56">
        <v>0.88900000000000001</v>
      </c>
      <c r="AE56">
        <v>1</v>
      </c>
      <c r="AF56">
        <v>11.1</v>
      </c>
    </row>
    <row r="57" spans="1:32" x14ac:dyDescent="0.25">
      <c r="A57">
        <v>2</v>
      </c>
      <c r="B57" t="s">
        <v>73</v>
      </c>
      <c r="C57" t="s">
        <v>74</v>
      </c>
      <c r="D57" t="s">
        <v>8</v>
      </c>
      <c r="E57" t="s">
        <v>75</v>
      </c>
      <c r="F57" t="s">
        <v>8</v>
      </c>
      <c r="H57" t="s">
        <v>79</v>
      </c>
      <c r="I57" t="s">
        <v>77</v>
      </c>
      <c r="J57" t="s">
        <v>80</v>
      </c>
      <c r="K57">
        <v>330</v>
      </c>
      <c r="L57">
        <v>330</v>
      </c>
      <c r="M57">
        <v>0</v>
      </c>
      <c r="N57">
        <v>325</v>
      </c>
      <c r="O57">
        <v>0</v>
      </c>
      <c r="P57">
        <v>7825.7</v>
      </c>
      <c r="Q57">
        <v>8000.7</v>
      </c>
      <c r="R57">
        <v>2000</v>
      </c>
      <c r="S57">
        <v>350000</v>
      </c>
      <c r="T57" s="9">
        <v>284000</v>
      </c>
      <c r="U57" s="9">
        <v>0</v>
      </c>
      <c r="V57" s="5">
        <f>Table1[[#This Row],[CONSUMPTION Q=(O-N)*P]]+Table1[[#This Row],[IMPORTED ENERGY]]-Table1[[#This Row],[EXPORTED ENERGY]]</f>
        <v>634000</v>
      </c>
      <c r="W57" s="5">
        <v>368</v>
      </c>
      <c r="X57" s="5">
        <v>573907.02300000004</v>
      </c>
      <c r="Y57" s="5">
        <v>574275.02300000004</v>
      </c>
      <c r="Z57" s="11">
        <f>(Table1[[#This Row],[NET CONSUMPTION T=Q+R-S]]-Table1[[#This Row],[TOTAL SALES W=U+V]])/Table1[[#This Row],[NET CONSUMPTION T=Q+R-S]]*100</f>
        <v>9.4203433753943155</v>
      </c>
      <c r="AA57">
        <v>9.42</v>
      </c>
      <c r="AB57">
        <v>3375994.83</v>
      </c>
      <c r="AC57">
        <v>3369493.83</v>
      </c>
      <c r="AD57">
        <v>0.90580000000000005</v>
      </c>
      <c r="AE57">
        <v>0.99809999999999999</v>
      </c>
      <c r="AF57">
        <v>9.4</v>
      </c>
    </row>
    <row r="58" spans="1:32" x14ac:dyDescent="0.25">
      <c r="A58">
        <v>3</v>
      </c>
      <c r="B58" t="s">
        <v>73</v>
      </c>
      <c r="C58" t="s">
        <v>74</v>
      </c>
      <c r="D58" t="s">
        <v>8</v>
      </c>
      <c r="E58" t="s">
        <v>75</v>
      </c>
      <c r="F58" t="s">
        <v>8</v>
      </c>
      <c r="H58" t="s">
        <v>81</v>
      </c>
      <c r="I58" t="s">
        <v>82</v>
      </c>
      <c r="J58" t="s">
        <v>83</v>
      </c>
      <c r="K58">
        <v>1176</v>
      </c>
      <c r="L58">
        <v>1176</v>
      </c>
      <c r="M58">
        <v>0</v>
      </c>
      <c r="N58">
        <v>0</v>
      </c>
      <c r="O58">
        <v>0</v>
      </c>
      <c r="P58">
        <v>8419.2999999999993</v>
      </c>
      <c r="Q58">
        <v>8573.6</v>
      </c>
      <c r="R58">
        <v>1000</v>
      </c>
      <c r="S58">
        <v>154300</v>
      </c>
      <c r="T58" s="9">
        <v>0</v>
      </c>
      <c r="U58" s="9">
        <v>34000</v>
      </c>
      <c r="V58" s="5">
        <f>Table1[[#This Row],[CONSUMPTION Q=(O-N)*P]]+Table1[[#This Row],[IMPORTED ENERGY]]-Table1[[#This Row],[EXPORTED ENERGY]]</f>
        <v>120300</v>
      </c>
      <c r="W58" s="5">
        <v>117323.47</v>
      </c>
      <c r="X58" s="5">
        <v>0</v>
      </c>
      <c r="Y58" s="5">
        <v>117323.47</v>
      </c>
      <c r="Z58" s="11">
        <f>(Table1[[#This Row],[NET CONSUMPTION T=Q+R-S]]-Table1[[#This Row],[TOTAL SALES W=U+V]])/Table1[[#This Row],[NET CONSUMPTION T=Q+R-S]]*100</f>
        <v>2.4742560266001652</v>
      </c>
      <c r="AA58">
        <v>2.4700000000000002</v>
      </c>
      <c r="AB58">
        <v>1357006.25</v>
      </c>
      <c r="AC58">
        <v>633328.23</v>
      </c>
      <c r="AD58">
        <v>0.97529999999999994</v>
      </c>
      <c r="AE58">
        <v>0.4667</v>
      </c>
      <c r="AF58">
        <v>1.1499999999999999</v>
      </c>
    </row>
    <row r="59" spans="1:32" x14ac:dyDescent="0.25">
      <c r="A59">
        <v>4</v>
      </c>
      <c r="B59" t="s">
        <v>73</v>
      </c>
      <c r="C59" t="s">
        <v>74</v>
      </c>
      <c r="D59" t="s">
        <v>8</v>
      </c>
      <c r="E59" t="s">
        <v>75</v>
      </c>
      <c r="F59" t="s">
        <v>8</v>
      </c>
      <c r="H59" t="s">
        <v>84</v>
      </c>
      <c r="I59" t="s">
        <v>77</v>
      </c>
      <c r="J59" t="s">
        <v>85</v>
      </c>
      <c r="K59">
        <v>225</v>
      </c>
      <c r="L59">
        <v>225</v>
      </c>
      <c r="M59">
        <v>0</v>
      </c>
      <c r="N59">
        <v>224</v>
      </c>
      <c r="O59">
        <v>0</v>
      </c>
      <c r="P59">
        <v>7805</v>
      </c>
      <c r="Q59">
        <v>8034.5</v>
      </c>
      <c r="R59">
        <v>2000</v>
      </c>
      <c r="S59">
        <v>459000</v>
      </c>
      <c r="T59" s="9">
        <v>0</v>
      </c>
      <c r="U59" s="9">
        <v>0</v>
      </c>
      <c r="V59" s="5">
        <f>Table1[[#This Row],[CONSUMPTION Q=(O-N)*P]]+Table1[[#This Row],[IMPORTED ENERGY]]-Table1[[#This Row],[EXPORTED ENERGY]]</f>
        <v>459000</v>
      </c>
      <c r="W59" s="5">
        <v>35</v>
      </c>
      <c r="X59" s="5">
        <v>406663.11200000002</v>
      </c>
      <c r="Y59" s="5">
        <v>406698.11200000002</v>
      </c>
      <c r="Z59" s="11">
        <f>(Table1[[#This Row],[NET CONSUMPTION T=Q+R-S]]-Table1[[#This Row],[TOTAL SALES W=U+V]])/Table1[[#This Row],[NET CONSUMPTION T=Q+R-S]]*100</f>
        <v>11.3947468409586</v>
      </c>
      <c r="AA59">
        <v>11.39</v>
      </c>
      <c r="AB59">
        <v>2387466.67</v>
      </c>
      <c r="AC59">
        <v>2387465.67</v>
      </c>
      <c r="AD59">
        <v>0.8861</v>
      </c>
      <c r="AE59">
        <v>1</v>
      </c>
      <c r="AF59">
        <v>11.39</v>
      </c>
    </row>
    <row r="60" spans="1:32" x14ac:dyDescent="0.25">
      <c r="A60">
        <v>5</v>
      </c>
      <c r="B60" t="s">
        <v>73</v>
      </c>
      <c r="C60" t="s">
        <v>74</v>
      </c>
      <c r="D60" t="s">
        <v>8</v>
      </c>
      <c r="E60" t="s">
        <v>75</v>
      </c>
      <c r="F60" t="s">
        <v>8</v>
      </c>
      <c r="H60" t="s">
        <v>86</v>
      </c>
      <c r="I60" t="s">
        <v>77</v>
      </c>
      <c r="J60" t="s">
        <v>87</v>
      </c>
      <c r="K60">
        <v>221</v>
      </c>
      <c r="L60">
        <v>221</v>
      </c>
      <c r="M60">
        <v>0</v>
      </c>
      <c r="N60">
        <v>220</v>
      </c>
      <c r="O60">
        <v>0</v>
      </c>
      <c r="P60">
        <v>6730.4</v>
      </c>
      <c r="Q60">
        <v>6943.6</v>
      </c>
      <c r="R60">
        <v>2000</v>
      </c>
      <c r="S60">
        <v>426400</v>
      </c>
      <c r="T60" s="9">
        <v>0</v>
      </c>
      <c r="U60" s="9">
        <v>0</v>
      </c>
      <c r="V60" s="5">
        <f>Table1[[#This Row],[CONSUMPTION Q=(O-N)*P]]+Table1[[#This Row],[IMPORTED ENERGY]]-Table1[[#This Row],[EXPORTED ENERGY]]</f>
        <v>426400</v>
      </c>
      <c r="W60" s="5">
        <v>1</v>
      </c>
      <c r="X60" s="5">
        <v>380344.21500000003</v>
      </c>
      <c r="Y60" s="5">
        <v>380345.21500000003</v>
      </c>
      <c r="Z60" s="11">
        <f>(Table1[[#This Row],[NET CONSUMPTION T=Q+R-S]]-Table1[[#This Row],[TOTAL SALES W=U+V]])/Table1[[#This Row],[NET CONSUMPTION T=Q+R-S]]*100</f>
        <v>10.800840759849899</v>
      </c>
      <c r="AA60">
        <v>10.8</v>
      </c>
      <c r="AB60">
        <v>2232755.38</v>
      </c>
      <c r="AC60">
        <v>2232750.38</v>
      </c>
      <c r="AD60">
        <v>0.89200000000000002</v>
      </c>
      <c r="AE60">
        <v>1</v>
      </c>
      <c r="AF60">
        <v>10.8</v>
      </c>
    </row>
    <row r="61" spans="1:32" x14ac:dyDescent="0.25">
      <c r="A61">
        <v>1</v>
      </c>
      <c r="B61" t="s">
        <v>73</v>
      </c>
      <c r="C61" t="s">
        <v>74</v>
      </c>
      <c r="D61" t="s">
        <v>8</v>
      </c>
      <c r="E61" t="s">
        <v>75</v>
      </c>
      <c r="F61" t="s">
        <v>8</v>
      </c>
      <c r="H61" t="s">
        <v>76</v>
      </c>
      <c r="I61" t="s">
        <v>77</v>
      </c>
      <c r="J61" t="s">
        <v>78</v>
      </c>
      <c r="K61">
        <v>80</v>
      </c>
      <c r="L61">
        <v>80</v>
      </c>
      <c r="M61">
        <v>0</v>
      </c>
      <c r="N61">
        <v>80</v>
      </c>
      <c r="O61">
        <v>0</v>
      </c>
      <c r="P61">
        <v>21.98</v>
      </c>
      <c r="Q61">
        <v>42.459000000000003</v>
      </c>
      <c r="R61">
        <v>20000</v>
      </c>
      <c r="S61">
        <v>409580</v>
      </c>
      <c r="T61" s="9">
        <v>0</v>
      </c>
      <c r="U61" s="9">
        <v>250000</v>
      </c>
      <c r="V61" s="5">
        <f>Table1[[#This Row],[CONSUMPTION Q=(O-N)*P]]+Table1[[#This Row],[IMPORTED ENERGY]]-Table1[[#This Row],[EXPORTED ENERGY]]</f>
        <v>159580</v>
      </c>
      <c r="W61" s="5">
        <v>0</v>
      </c>
      <c r="X61" s="5">
        <v>129477.586</v>
      </c>
      <c r="Y61" s="5">
        <v>129477.586</v>
      </c>
      <c r="Z61" s="11">
        <f>(Table1[[#This Row],[NET CONSUMPTION T=Q+R-S]]-Table1[[#This Row],[TOTAL SALES W=U+V]])/Table1[[#This Row],[NET CONSUMPTION T=Q+R-S]]*100</f>
        <v>18.863525504449182</v>
      </c>
      <c r="AA61">
        <v>18.86</v>
      </c>
      <c r="AB61">
        <v>760033.3</v>
      </c>
      <c r="AC61">
        <v>760033.3</v>
      </c>
      <c r="AD61">
        <v>0.81140000000000001</v>
      </c>
      <c r="AE61">
        <v>1</v>
      </c>
      <c r="AF61">
        <v>18.86</v>
      </c>
    </row>
    <row r="62" spans="1:32" x14ac:dyDescent="0.25">
      <c r="A62">
        <v>52</v>
      </c>
      <c r="B62" t="s">
        <v>73</v>
      </c>
      <c r="C62" t="s">
        <v>74</v>
      </c>
      <c r="D62" t="s">
        <v>186</v>
      </c>
      <c r="E62" t="s">
        <v>187</v>
      </c>
      <c r="F62" t="s">
        <v>186</v>
      </c>
      <c r="H62" t="s">
        <v>188</v>
      </c>
      <c r="I62" t="s">
        <v>104</v>
      </c>
      <c r="J62" t="s">
        <v>189</v>
      </c>
      <c r="K62">
        <v>1818</v>
      </c>
      <c r="L62">
        <v>1818</v>
      </c>
      <c r="M62">
        <v>0</v>
      </c>
      <c r="N62">
        <v>137</v>
      </c>
      <c r="O62">
        <v>0</v>
      </c>
      <c r="P62">
        <v>36.414000000000001</v>
      </c>
      <c r="Q62">
        <v>84.11</v>
      </c>
      <c r="R62">
        <v>10000</v>
      </c>
      <c r="S62">
        <v>476960</v>
      </c>
      <c r="T62" s="9">
        <v>0</v>
      </c>
      <c r="U62" s="9">
        <v>0</v>
      </c>
      <c r="V62" s="5">
        <f>Table1[[#This Row],[CONSUMPTION Q=(O-N)*P]]+Table1[[#This Row],[IMPORTED ENERGY]]-Table1[[#This Row],[EXPORTED ENERGY]]</f>
        <v>476960</v>
      </c>
      <c r="W62" s="5">
        <v>110499.6</v>
      </c>
      <c r="X62" s="5">
        <v>5904.018</v>
      </c>
      <c r="Y62" s="5">
        <v>116403.618</v>
      </c>
      <c r="Z62" s="11">
        <f>(Table1[[#This Row],[NET CONSUMPTION T=Q+R-S]]-Table1[[#This Row],[TOTAL SALES W=U+V]])/Table1[[#This Row],[NET CONSUMPTION T=Q+R-S]]*100</f>
        <v>75.594679218383092</v>
      </c>
      <c r="AA62">
        <v>75.59</v>
      </c>
      <c r="AB62">
        <v>1255808.0900000001</v>
      </c>
      <c r="AC62">
        <v>1034463.61</v>
      </c>
      <c r="AD62">
        <v>0.24410000000000001</v>
      </c>
      <c r="AE62">
        <v>0.82369999999999999</v>
      </c>
      <c r="AF62">
        <v>62.26</v>
      </c>
    </row>
  </sheetData>
  <mergeCells count="41">
    <mergeCell ref="A1:AG1"/>
    <mergeCell ref="A2:AG2"/>
    <mergeCell ref="A3:AG3"/>
    <mergeCell ref="B4"/>
    <mergeCell ref="C4"/>
    <mergeCell ref="B5"/>
    <mergeCell ref="C5"/>
    <mergeCell ref="A7"/>
    <mergeCell ref="B7"/>
    <mergeCell ref="C7"/>
    <mergeCell ref="D7"/>
    <mergeCell ref="E7"/>
    <mergeCell ref="F7"/>
    <mergeCell ref="G7"/>
    <mergeCell ref="H7"/>
    <mergeCell ref="N7"/>
    <mergeCell ref="O7"/>
    <mergeCell ref="P7"/>
    <mergeCell ref="I6"/>
    <mergeCell ref="J6"/>
    <mergeCell ref="I7"/>
    <mergeCell ref="J7"/>
    <mergeCell ref="K7"/>
    <mergeCell ref="L7"/>
    <mergeCell ref="M7"/>
    <mergeCell ref="Q7"/>
    <mergeCell ref="R7"/>
    <mergeCell ref="S7"/>
    <mergeCell ref="T7"/>
    <mergeCell ref="U7"/>
    <mergeCell ref="V7"/>
    <mergeCell ref="W7"/>
    <mergeCell ref="X7"/>
    <mergeCell ref="Y7"/>
    <mergeCell ref="AA7"/>
    <mergeCell ref="AG7"/>
    <mergeCell ref="AB7"/>
    <mergeCell ref="AC7"/>
    <mergeCell ref="AD7"/>
    <mergeCell ref="AE7"/>
    <mergeCell ref="AF7"/>
  </mergeCells>
  <pageMargins left="0.75" right="0.75" top="0.75" bottom="0.5" header="0.5" footer="0.75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3AD3A0-C59A-4BE1-BB06-E9C0DA66FB65}">
  <dimension ref="A1:AH51"/>
  <sheetViews>
    <sheetView topLeftCell="E1" workbookViewId="0">
      <selection activeCell="U9" sqref="U9"/>
    </sheetView>
  </sheetViews>
  <sheetFormatPr defaultRowHeight="15" x14ac:dyDescent="0.25"/>
  <cols>
    <col min="1" max="1" width="9.140625" customWidth="1"/>
    <col min="2" max="3" width="20.7109375" customWidth="1"/>
    <col min="4" max="4" width="16.28515625" customWidth="1"/>
    <col min="5" max="5" width="22.7109375" customWidth="1"/>
    <col min="6" max="6" width="18.28515625" hidden="1" customWidth="1"/>
    <col min="7" max="7" width="16.7109375" hidden="1" customWidth="1"/>
    <col min="8" max="8" width="28" customWidth="1"/>
    <col min="9" max="9" width="15.5703125" customWidth="1"/>
    <col min="10" max="10" width="18.5703125" customWidth="1"/>
    <col min="11" max="11" width="6.5703125" hidden="1" customWidth="1"/>
    <col min="12" max="12" width="20" hidden="1" customWidth="1"/>
    <col min="13" max="13" width="21.85546875" hidden="1" customWidth="1"/>
    <col min="14" max="14" width="22.42578125" hidden="1" customWidth="1"/>
    <col min="15" max="15" width="15.7109375" hidden="1" customWidth="1"/>
    <col min="16" max="16" width="9.140625" customWidth="1"/>
    <col min="17" max="17" width="12" customWidth="1"/>
    <col min="18" max="18" width="7.42578125" customWidth="1"/>
    <col min="19" max="19" width="13.5703125" customWidth="1"/>
    <col min="20" max="20" width="10.42578125" style="9" customWidth="1"/>
    <col min="21" max="21" width="13.140625" style="9" customWidth="1"/>
    <col min="22" max="22" width="16.5703125" style="5" customWidth="1"/>
    <col min="23" max="23" width="8.85546875" style="5" customWidth="1"/>
    <col min="24" max="24" width="11" style="5" customWidth="1"/>
    <col min="25" max="25" width="12.42578125" style="5" customWidth="1"/>
    <col min="26" max="26" width="11.7109375" style="9" customWidth="1"/>
    <col min="27" max="27" width="13.140625" customWidth="1"/>
    <col min="28" max="28" width="14" customWidth="1"/>
    <col min="29" max="29" width="15.28515625" customWidth="1"/>
    <col min="30" max="30" width="29" customWidth="1"/>
    <col min="31" max="31" width="32" customWidth="1"/>
    <col min="32" max="32" width="34.85546875" customWidth="1"/>
    <col min="33" max="33" width="12.85546875" customWidth="1"/>
    <col min="34" max="34" width="11.140625" customWidth="1"/>
  </cols>
  <sheetData>
    <row r="1" spans="1:34" ht="18.75" x14ac:dyDescent="0.3">
      <c r="A1" s="20" t="s">
        <v>0</v>
      </c>
      <c r="B1" s="20" t="s">
        <v>0</v>
      </c>
      <c r="C1" s="20" t="s">
        <v>0</v>
      </c>
      <c r="D1" s="20" t="s">
        <v>0</v>
      </c>
      <c r="E1" s="20" t="s">
        <v>0</v>
      </c>
      <c r="F1" s="20" t="s">
        <v>0</v>
      </c>
      <c r="G1" s="20" t="s">
        <v>0</v>
      </c>
      <c r="H1" s="20" t="s">
        <v>0</v>
      </c>
      <c r="I1" s="20" t="s">
        <v>0</v>
      </c>
      <c r="J1" s="20" t="s">
        <v>0</v>
      </c>
      <c r="K1" s="20" t="s">
        <v>0</v>
      </c>
      <c r="L1" s="20" t="s">
        <v>0</v>
      </c>
      <c r="M1" s="20" t="s">
        <v>0</v>
      </c>
      <c r="N1" s="20" t="s">
        <v>0</v>
      </c>
      <c r="O1" s="20" t="s">
        <v>0</v>
      </c>
      <c r="P1" s="20" t="s">
        <v>0</v>
      </c>
      <c r="Q1" s="20" t="s">
        <v>0</v>
      </c>
      <c r="R1" s="20" t="s">
        <v>0</v>
      </c>
      <c r="S1" s="20" t="s">
        <v>0</v>
      </c>
      <c r="T1" s="20" t="s">
        <v>0</v>
      </c>
      <c r="U1" s="20" t="s">
        <v>0</v>
      </c>
      <c r="V1" s="20" t="s">
        <v>0</v>
      </c>
      <c r="W1" s="20" t="s">
        <v>0</v>
      </c>
      <c r="X1" s="20" t="s">
        <v>0</v>
      </c>
      <c r="Y1" s="20" t="s">
        <v>0</v>
      </c>
      <c r="Z1" s="20"/>
      <c r="AA1" s="20" t="s">
        <v>0</v>
      </c>
      <c r="AB1" s="20" t="s">
        <v>0</v>
      </c>
      <c r="AC1" s="20" t="s">
        <v>0</v>
      </c>
      <c r="AD1" s="20" t="s">
        <v>0</v>
      </c>
      <c r="AE1" s="20" t="s">
        <v>0</v>
      </c>
      <c r="AF1" s="20" t="s">
        <v>0</v>
      </c>
      <c r="AG1" s="20" t="s">
        <v>0</v>
      </c>
    </row>
    <row r="2" spans="1:34" ht="18.75" x14ac:dyDescent="0.3">
      <c r="A2" s="20" t="s">
        <v>1</v>
      </c>
      <c r="B2" s="20" t="s">
        <v>1</v>
      </c>
      <c r="C2" s="20" t="s">
        <v>1</v>
      </c>
      <c r="D2" s="20" t="s">
        <v>1</v>
      </c>
      <c r="E2" s="20" t="s">
        <v>1</v>
      </c>
      <c r="F2" s="20" t="s">
        <v>1</v>
      </c>
      <c r="G2" s="20" t="s">
        <v>1</v>
      </c>
      <c r="H2" s="20" t="s">
        <v>1</v>
      </c>
      <c r="I2" s="20" t="s">
        <v>1</v>
      </c>
      <c r="J2" s="20" t="s">
        <v>1</v>
      </c>
      <c r="K2" s="20" t="s">
        <v>1</v>
      </c>
      <c r="L2" s="20" t="s">
        <v>1</v>
      </c>
      <c r="M2" s="20" t="s">
        <v>1</v>
      </c>
      <c r="N2" s="20" t="s">
        <v>1</v>
      </c>
      <c r="O2" s="20" t="s">
        <v>1</v>
      </c>
      <c r="P2" s="20" t="s">
        <v>1</v>
      </c>
      <c r="Q2" s="20" t="s">
        <v>1</v>
      </c>
      <c r="R2" s="20" t="s">
        <v>1</v>
      </c>
      <c r="S2" s="20" t="s">
        <v>1</v>
      </c>
      <c r="T2" s="20" t="s">
        <v>1</v>
      </c>
      <c r="U2" s="20" t="s">
        <v>1</v>
      </c>
      <c r="V2" s="20" t="s">
        <v>1</v>
      </c>
      <c r="W2" s="20" t="s">
        <v>1</v>
      </c>
      <c r="X2" s="20" t="s">
        <v>1</v>
      </c>
      <c r="Y2" s="20" t="s">
        <v>1</v>
      </c>
      <c r="Z2" s="20"/>
      <c r="AA2" s="20" t="s">
        <v>1</v>
      </c>
      <c r="AB2" s="20" t="s">
        <v>1</v>
      </c>
      <c r="AC2" s="20" t="s">
        <v>1</v>
      </c>
      <c r="AD2" s="20" t="s">
        <v>1</v>
      </c>
      <c r="AE2" s="20" t="s">
        <v>1</v>
      </c>
      <c r="AF2" s="20" t="s">
        <v>1</v>
      </c>
      <c r="AG2" s="20" t="s">
        <v>1</v>
      </c>
    </row>
    <row r="3" spans="1:34" ht="18.75" x14ac:dyDescent="0.3">
      <c r="A3" s="20" t="s">
        <v>2</v>
      </c>
      <c r="B3" s="20" t="s">
        <v>2</v>
      </c>
      <c r="C3" s="20" t="s">
        <v>2</v>
      </c>
      <c r="D3" s="20" t="s">
        <v>2</v>
      </c>
      <c r="E3" s="20" t="s">
        <v>2</v>
      </c>
      <c r="F3" s="20" t="s">
        <v>2</v>
      </c>
      <c r="G3" s="20" t="s">
        <v>2</v>
      </c>
      <c r="H3" s="20" t="s">
        <v>2</v>
      </c>
      <c r="I3" s="20" t="s">
        <v>2</v>
      </c>
      <c r="J3" s="20" t="s">
        <v>2</v>
      </c>
      <c r="K3" s="20" t="s">
        <v>2</v>
      </c>
      <c r="L3" s="20" t="s">
        <v>2</v>
      </c>
      <c r="M3" s="20" t="s">
        <v>2</v>
      </c>
      <c r="N3" s="20" t="s">
        <v>2</v>
      </c>
      <c r="O3" s="20" t="s">
        <v>2</v>
      </c>
      <c r="P3" s="20" t="s">
        <v>2</v>
      </c>
      <c r="Q3" s="20" t="s">
        <v>2</v>
      </c>
      <c r="R3" s="20" t="s">
        <v>2</v>
      </c>
      <c r="S3" s="20" t="s">
        <v>2</v>
      </c>
      <c r="T3" s="20" t="s">
        <v>2</v>
      </c>
      <c r="U3" s="20" t="s">
        <v>2</v>
      </c>
      <c r="V3" s="20" t="s">
        <v>2</v>
      </c>
      <c r="W3" s="20" t="s">
        <v>2</v>
      </c>
      <c r="X3" s="20" t="s">
        <v>2</v>
      </c>
      <c r="Y3" s="20" t="s">
        <v>2</v>
      </c>
      <c r="Z3" s="20"/>
      <c r="AA3" s="20" t="s">
        <v>2</v>
      </c>
      <c r="AB3" s="20" t="s">
        <v>2</v>
      </c>
      <c r="AC3" s="20" t="s">
        <v>2</v>
      </c>
      <c r="AD3" s="20" t="s">
        <v>2</v>
      </c>
      <c r="AE3" s="20" t="s">
        <v>2</v>
      </c>
      <c r="AF3" s="20" t="s">
        <v>2</v>
      </c>
      <c r="AG3" s="20" t="s">
        <v>2</v>
      </c>
    </row>
    <row r="4" spans="1:34" x14ac:dyDescent="0.25">
      <c r="A4" s="5"/>
      <c r="B4" s="4" t="s">
        <v>3</v>
      </c>
      <c r="C4" s="3" t="s">
        <v>4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AA4" s="5"/>
      <c r="AB4" s="5"/>
      <c r="AC4" s="5"/>
      <c r="AD4" s="5"/>
      <c r="AE4" s="5"/>
      <c r="AF4" s="5"/>
      <c r="AG4" s="5"/>
    </row>
    <row r="5" spans="1:34" x14ac:dyDescent="0.25">
      <c r="A5" s="5"/>
      <c r="B5" s="4" t="s">
        <v>5</v>
      </c>
      <c r="C5" s="4" t="s">
        <v>6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AA5" s="5"/>
      <c r="AB5" s="5"/>
      <c r="AC5" s="5"/>
      <c r="AD5" s="5"/>
      <c r="AE5" s="5"/>
      <c r="AF5" s="5"/>
      <c r="AG5" s="5"/>
    </row>
    <row r="6" spans="1:34" x14ac:dyDescent="0.25">
      <c r="A6" s="6"/>
      <c r="B6" s="6"/>
      <c r="C6" s="6"/>
      <c r="D6" s="6"/>
      <c r="E6" s="6"/>
      <c r="F6" s="6"/>
      <c r="G6" s="6"/>
      <c r="H6" s="6"/>
      <c r="I6" s="1" t="s">
        <v>7</v>
      </c>
      <c r="J6" s="7" t="s">
        <v>8</v>
      </c>
      <c r="K6" s="6"/>
      <c r="L6" s="6"/>
      <c r="M6" s="6"/>
      <c r="N6" s="6"/>
      <c r="O6" s="6"/>
      <c r="P6" s="6"/>
      <c r="Q6" s="6"/>
      <c r="R6" s="6"/>
      <c r="S6" s="6"/>
      <c r="V6" s="12"/>
      <c r="W6" s="12"/>
      <c r="X6" s="12"/>
      <c r="Y6" s="12"/>
      <c r="AA6" s="6"/>
      <c r="AB6" s="6"/>
      <c r="AC6" s="6"/>
      <c r="AD6" s="6"/>
      <c r="AE6" s="6"/>
      <c r="AF6" s="6"/>
      <c r="AG6" s="6"/>
    </row>
    <row r="7" spans="1:34" x14ac:dyDescent="0.25">
      <c r="A7" s="2"/>
      <c r="B7" s="2" t="s">
        <v>9</v>
      </c>
      <c r="C7" s="2" t="s">
        <v>10</v>
      </c>
      <c r="D7" s="2" t="s">
        <v>11</v>
      </c>
      <c r="E7" s="2" t="s">
        <v>12</v>
      </c>
      <c r="F7" s="2" t="s">
        <v>13</v>
      </c>
      <c r="G7" s="2" t="s">
        <v>14</v>
      </c>
      <c r="H7" s="2" t="s">
        <v>15</v>
      </c>
      <c r="I7" s="2" t="s">
        <v>16</v>
      </c>
      <c r="J7" s="2" t="s">
        <v>17</v>
      </c>
      <c r="K7" s="2" t="s">
        <v>18</v>
      </c>
      <c r="L7" s="2" t="s">
        <v>19</v>
      </c>
      <c r="M7" s="2" t="s">
        <v>20</v>
      </c>
      <c r="N7" s="2" t="s">
        <v>21</v>
      </c>
      <c r="O7" s="2" t="s">
        <v>22</v>
      </c>
      <c r="P7" s="2" t="s">
        <v>23</v>
      </c>
      <c r="Q7" s="2" t="s">
        <v>24</v>
      </c>
      <c r="R7" s="2" t="s">
        <v>25</v>
      </c>
      <c r="S7" s="2" t="s">
        <v>26</v>
      </c>
      <c r="T7" s="10" t="s">
        <v>27</v>
      </c>
      <c r="U7" s="10" t="s">
        <v>28</v>
      </c>
      <c r="V7" s="2" t="s">
        <v>29</v>
      </c>
      <c r="W7" s="2" t="s">
        <v>30</v>
      </c>
      <c r="X7" s="2" t="s">
        <v>31</v>
      </c>
      <c r="Y7" s="2" t="s">
        <v>32</v>
      </c>
      <c r="Z7" s="10"/>
      <c r="AA7" s="2" t="s">
        <v>33</v>
      </c>
      <c r="AB7" s="2" t="s">
        <v>34</v>
      </c>
      <c r="AC7" s="2" t="s">
        <v>35</v>
      </c>
      <c r="AD7" s="2" t="s">
        <v>36</v>
      </c>
      <c r="AE7" s="2" t="s">
        <v>37</v>
      </c>
      <c r="AF7" s="2" t="s">
        <v>38</v>
      </c>
      <c r="AG7" s="2" t="s">
        <v>39</v>
      </c>
    </row>
    <row r="8" spans="1:34" s="8" customFormat="1" ht="45" x14ac:dyDescent="0.25">
      <c r="A8" s="8" t="s">
        <v>40</v>
      </c>
      <c r="B8" s="8" t="s">
        <v>41</v>
      </c>
      <c r="C8" s="8" t="s">
        <v>42</v>
      </c>
      <c r="D8" s="8" t="s">
        <v>43</v>
      </c>
      <c r="E8" s="8" t="s">
        <v>44</v>
      </c>
      <c r="F8" s="8" t="s">
        <v>45</v>
      </c>
      <c r="G8" s="8" t="s">
        <v>46</v>
      </c>
      <c r="H8" s="8" t="s">
        <v>47</v>
      </c>
      <c r="I8" s="8" t="s">
        <v>48</v>
      </c>
      <c r="J8" s="8" t="s">
        <v>49</v>
      </c>
      <c r="K8" s="8" t="s">
        <v>50</v>
      </c>
      <c r="L8" s="8" t="s">
        <v>51</v>
      </c>
      <c r="M8" s="8" t="s">
        <v>52</v>
      </c>
      <c r="N8" s="8" t="s">
        <v>53</v>
      </c>
      <c r="O8" s="8" t="s">
        <v>54</v>
      </c>
      <c r="P8" s="8" t="s">
        <v>55</v>
      </c>
      <c r="Q8" s="8" t="s">
        <v>56</v>
      </c>
      <c r="R8" s="8" t="s">
        <v>57</v>
      </c>
      <c r="S8" s="8" t="s">
        <v>58</v>
      </c>
      <c r="T8" s="13" t="s">
        <v>59</v>
      </c>
      <c r="U8" s="13" t="s">
        <v>60</v>
      </c>
      <c r="V8" s="14" t="s">
        <v>61</v>
      </c>
      <c r="W8" s="14" t="s">
        <v>62</v>
      </c>
      <c r="X8" s="14" t="s">
        <v>63</v>
      </c>
      <c r="Y8" s="14" t="s">
        <v>64</v>
      </c>
      <c r="Z8" s="13" t="s">
        <v>190</v>
      </c>
      <c r="AA8" s="8" t="s">
        <v>65</v>
      </c>
      <c r="AB8" s="8" t="s">
        <v>66</v>
      </c>
      <c r="AC8" s="8" t="s">
        <v>67</v>
      </c>
      <c r="AD8" s="8" t="s">
        <v>68</v>
      </c>
      <c r="AE8" s="8" t="s">
        <v>69</v>
      </c>
      <c r="AF8" s="8" t="s">
        <v>70</v>
      </c>
      <c r="AG8" s="8" t="s">
        <v>71</v>
      </c>
      <c r="AH8" s="8" t="s">
        <v>72</v>
      </c>
    </row>
    <row r="9" spans="1:34" x14ac:dyDescent="0.25">
      <c r="A9">
        <v>31</v>
      </c>
      <c r="B9" t="s">
        <v>73</v>
      </c>
      <c r="C9" t="s">
        <v>74</v>
      </c>
      <c r="D9" t="s">
        <v>8</v>
      </c>
      <c r="E9" t="s">
        <v>142</v>
      </c>
      <c r="F9" t="s">
        <v>8</v>
      </c>
      <c r="H9" t="s">
        <v>143</v>
      </c>
      <c r="I9" t="s">
        <v>82</v>
      </c>
      <c r="J9" t="s">
        <v>144</v>
      </c>
      <c r="K9">
        <v>1142</v>
      </c>
      <c r="L9">
        <v>1142</v>
      </c>
      <c r="M9">
        <v>0</v>
      </c>
      <c r="N9">
        <v>0</v>
      </c>
      <c r="O9">
        <v>0</v>
      </c>
      <c r="P9">
        <v>762.81399999999996</v>
      </c>
      <c r="Q9">
        <v>791.87099999999998</v>
      </c>
      <c r="R9">
        <v>20000</v>
      </c>
      <c r="S9">
        <v>581140</v>
      </c>
      <c r="T9" s="9">
        <v>0</v>
      </c>
      <c r="U9" s="9">
        <v>512000</v>
      </c>
      <c r="V9" s="5">
        <f>Table13[[#This Row],[CONSUMPTION Q=(O-N)*P]]+Table13[[#This Row],[IMPORTED ENERGY]]-Table13[[#This Row],[EXPORTED ENERGY]]</f>
        <v>69140</v>
      </c>
      <c r="W9" s="5">
        <v>63865.8</v>
      </c>
      <c r="X9" s="5">
        <v>0</v>
      </c>
      <c r="Y9" s="5">
        <v>63865.8</v>
      </c>
      <c r="Z9" s="11">
        <f>(Table13[[#This Row],[NET CONSUMPTION T=Q+R-S]]-Table13[[#This Row],[TOTAL SALES W=U+V]])/Table13[[#This Row],[NET CONSUMPTION T=Q+R-S]]*100</f>
        <v>7.6282904252241783</v>
      </c>
      <c r="AA9">
        <v>-5.44</v>
      </c>
      <c r="AB9">
        <v>764239.97</v>
      </c>
      <c r="AC9">
        <v>677901.91</v>
      </c>
      <c r="AD9">
        <v>1.0544</v>
      </c>
      <c r="AE9">
        <v>0.88700000000000001</v>
      </c>
      <c r="AF9">
        <v>-4.83</v>
      </c>
    </row>
    <row r="10" spans="1:34" x14ac:dyDescent="0.25">
      <c r="A10">
        <v>32</v>
      </c>
      <c r="B10" t="s">
        <v>73</v>
      </c>
      <c r="C10" t="s">
        <v>74</v>
      </c>
      <c r="D10" t="s">
        <v>8</v>
      </c>
      <c r="E10" t="s">
        <v>142</v>
      </c>
      <c r="F10" t="s">
        <v>8</v>
      </c>
      <c r="H10" t="s">
        <v>145</v>
      </c>
      <c r="I10" t="s">
        <v>77</v>
      </c>
      <c r="J10" t="s">
        <v>146</v>
      </c>
      <c r="K10">
        <v>303</v>
      </c>
      <c r="L10">
        <v>303</v>
      </c>
      <c r="M10">
        <v>0</v>
      </c>
      <c r="N10">
        <v>300</v>
      </c>
      <c r="O10">
        <v>0</v>
      </c>
      <c r="P10">
        <v>1014.9690000000001</v>
      </c>
      <c r="Q10">
        <v>1040.673</v>
      </c>
      <c r="R10">
        <v>20000</v>
      </c>
      <c r="S10">
        <v>514080</v>
      </c>
      <c r="T10" s="9">
        <v>100000</v>
      </c>
      <c r="U10" s="9">
        <v>0</v>
      </c>
      <c r="V10" s="5">
        <f>Table13[[#This Row],[CONSUMPTION Q=(O-N)*P]]+Table13[[#This Row],[IMPORTED ENERGY]]-Table13[[#This Row],[EXPORTED ENERGY]]</f>
        <v>614080</v>
      </c>
      <c r="W10" s="5">
        <v>151</v>
      </c>
      <c r="X10" s="5">
        <v>582782.43999999994</v>
      </c>
      <c r="Y10" s="5">
        <v>582933.43999999994</v>
      </c>
      <c r="Z10" s="11">
        <f>(Table13[[#This Row],[NET CONSUMPTION T=Q+R-S]]-Table13[[#This Row],[TOTAL SALES W=U+V]])/Table13[[#This Row],[NET CONSUMPTION T=Q+R-S]]*100</f>
        <v>5.0720687858259605</v>
      </c>
      <c r="AA10">
        <v>9.49</v>
      </c>
      <c r="AB10">
        <v>3422300.19</v>
      </c>
      <c r="AC10">
        <v>3422218.19</v>
      </c>
      <c r="AD10">
        <v>0.90510000000000002</v>
      </c>
      <c r="AE10">
        <v>1</v>
      </c>
      <c r="AF10">
        <v>9.49</v>
      </c>
    </row>
    <row r="11" spans="1:34" x14ac:dyDescent="0.25">
      <c r="A11">
        <v>33</v>
      </c>
      <c r="B11" t="s">
        <v>73</v>
      </c>
      <c r="C11" t="s">
        <v>74</v>
      </c>
      <c r="D11" t="s">
        <v>8</v>
      </c>
      <c r="E11" t="s">
        <v>142</v>
      </c>
      <c r="F11" t="s">
        <v>8</v>
      </c>
      <c r="H11" t="s">
        <v>147</v>
      </c>
      <c r="I11" t="s">
        <v>77</v>
      </c>
      <c r="J11" t="s">
        <v>148</v>
      </c>
      <c r="K11">
        <v>344</v>
      </c>
      <c r="L11">
        <v>344</v>
      </c>
      <c r="M11">
        <v>0</v>
      </c>
      <c r="N11">
        <v>343</v>
      </c>
      <c r="O11">
        <v>0</v>
      </c>
      <c r="P11">
        <v>774.57</v>
      </c>
      <c r="Q11">
        <v>802.34900000000005</v>
      </c>
      <c r="R11">
        <v>20000</v>
      </c>
      <c r="S11">
        <v>555580</v>
      </c>
      <c r="T11" s="9">
        <v>80000</v>
      </c>
      <c r="U11" s="9">
        <v>0</v>
      </c>
      <c r="V11" s="5">
        <f>Table13[[#This Row],[CONSUMPTION Q=(O-N)*P]]+Table13[[#This Row],[IMPORTED ENERGY]]-Table13[[#This Row],[EXPORTED ENERGY]]</f>
        <v>635580</v>
      </c>
      <c r="W11" s="5">
        <v>17</v>
      </c>
      <c r="X11" s="5">
        <v>593284.53099999996</v>
      </c>
      <c r="Y11" s="5">
        <v>593301.53099999996</v>
      </c>
      <c r="Z11" s="11">
        <f>(Table13[[#This Row],[NET CONSUMPTION T=Q+R-S]]-Table13[[#This Row],[TOTAL SALES W=U+V]])/Table13[[#This Row],[NET CONSUMPTION T=Q+R-S]]*100</f>
        <v>6.6519508165769921</v>
      </c>
      <c r="AA11">
        <v>9.5</v>
      </c>
      <c r="AB11">
        <v>3483479.73</v>
      </c>
      <c r="AC11">
        <v>3483479.73</v>
      </c>
      <c r="AD11">
        <v>0.90500000000000003</v>
      </c>
      <c r="AE11">
        <v>1</v>
      </c>
      <c r="AF11">
        <v>9.5</v>
      </c>
    </row>
    <row r="12" spans="1:34" x14ac:dyDescent="0.25">
      <c r="A12">
        <v>34</v>
      </c>
      <c r="B12" t="s">
        <v>73</v>
      </c>
      <c r="C12" t="s">
        <v>74</v>
      </c>
      <c r="D12" t="s">
        <v>8</v>
      </c>
      <c r="E12" t="s">
        <v>142</v>
      </c>
      <c r="F12" t="s">
        <v>8</v>
      </c>
      <c r="H12" t="s">
        <v>149</v>
      </c>
      <c r="I12" t="s">
        <v>77</v>
      </c>
      <c r="J12" t="s">
        <v>150</v>
      </c>
      <c r="K12">
        <v>334</v>
      </c>
      <c r="L12">
        <v>334</v>
      </c>
      <c r="M12">
        <v>0</v>
      </c>
      <c r="N12">
        <v>333</v>
      </c>
      <c r="O12">
        <v>0</v>
      </c>
      <c r="P12">
        <v>1048.7619999999999</v>
      </c>
      <c r="Q12">
        <v>1074.2470000000001</v>
      </c>
      <c r="R12">
        <v>20000</v>
      </c>
      <c r="S12">
        <v>509700</v>
      </c>
      <c r="T12" s="9">
        <v>80000</v>
      </c>
      <c r="U12" s="9">
        <v>0</v>
      </c>
      <c r="V12" s="5">
        <f>Table13[[#This Row],[CONSUMPTION Q=(O-N)*P]]+Table13[[#This Row],[IMPORTED ENERGY]]-Table13[[#This Row],[EXPORTED ENERGY]]</f>
        <v>589700</v>
      </c>
      <c r="W12" s="5">
        <v>8</v>
      </c>
      <c r="X12" s="5">
        <v>551769.71499999997</v>
      </c>
      <c r="Y12" s="5">
        <v>551777.71499999997</v>
      </c>
      <c r="Z12" s="11">
        <f>(Table13[[#This Row],[NET CONSUMPTION T=Q+R-S]]-Table13[[#This Row],[TOTAL SALES W=U+V]])/Table13[[#This Row],[NET CONSUMPTION T=Q+R-S]]*100</f>
        <v>6.4307758182126555</v>
      </c>
      <c r="AA12">
        <v>9.5</v>
      </c>
      <c r="AB12">
        <v>3239069.63</v>
      </c>
      <c r="AC12">
        <v>3239061.63</v>
      </c>
      <c r="AD12">
        <v>0.90500000000000003</v>
      </c>
      <c r="AE12">
        <v>1</v>
      </c>
      <c r="AF12">
        <v>9.5</v>
      </c>
    </row>
    <row r="13" spans="1:34" x14ac:dyDescent="0.25">
      <c r="A13">
        <v>35</v>
      </c>
      <c r="B13" t="s">
        <v>73</v>
      </c>
      <c r="C13" t="s">
        <v>74</v>
      </c>
      <c r="D13" t="s">
        <v>8</v>
      </c>
      <c r="E13" t="s">
        <v>142</v>
      </c>
      <c r="F13" t="s">
        <v>8</v>
      </c>
      <c r="H13" t="s">
        <v>151</v>
      </c>
      <c r="I13" t="s">
        <v>77</v>
      </c>
      <c r="J13" t="s">
        <v>152</v>
      </c>
      <c r="K13">
        <v>383</v>
      </c>
      <c r="L13">
        <v>383</v>
      </c>
      <c r="M13">
        <v>0</v>
      </c>
      <c r="N13">
        <v>383</v>
      </c>
      <c r="O13">
        <v>0</v>
      </c>
      <c r="P13">
        <v>342.51299999999998</v>
      </c>
      <c r="Q13">
        <v>364.661</v>
      </c>
      <c r="R13">
        <v>20000</v>
      </c>
      <c r="S13">
        <v>442960</v>
      </c>
      <c r="T13" s="9">
        <v>45000</v>
      </c>
      <c r="U13" s="9">
        <v>0</v>
      </c>
      <c r="V13" s="5">
        <f>Table13[[#This Row],[CONSUMPTION Q=(O-N)*P]]+Table13[[#This Row],[IMPORTED ENERGY]]-Table13[[#This Row],[EXPORTED ENERGY]]</f>
        <v>487960</v>
      </c>
      <c r="W13" s="5">
        <v>0</v>
      </c>
      <c r="X13" s="5">
        <v>459703.02399999998</v>
      </c>
      <c r="Y13" s="5">
        <v>459703.02399999998</v>
      </c>
      <c r="Z13" s="11">
        <f>(Table13[[#This Row],[NET CONSUMPTION T=Q+R-S]]-Table13[[#This Row],[TOTAL SALES W=U+V]])/Table13[[#This Row],[NET CONSUMPTION T=Q+R-S]]*100</f>
        <v>5.7908385933273268</v>
      </c>
      <c r="AA13">
        <v>9.5</v>
      </c>
      <c r="AB13">
        <v>2698457.37</v>
      </c>
      <c r="AC13">
        <v>2698457.37</v>
      </c>
      <c r="AD13">
        <v>0.90500000000000003</v>
      </c>
      <c r="AE13">
        <v>1</v>
      </c>
      <c r="AF13">
        <v>9.5</v>
      </c>
    </row>
    <row r="14" spans="1:34" x14ac:dyDescent="0.25">
      <c r="A14">
        <v>36</v>
      </c>
      <c r="B14" t="s">
        <v>73</v>
      </c>
      <c r="C14" t="s">
        <v>74</v>
      </c>
      <c r="D14" t="s">
        <v>8</v>
      </c>
      <c r="E14" t="s">
        <v>142</v>
      </c>
      <c r="F14" t="s">
        <v>8</v>
      </c>
      <c r="H14" t="s">
        <v>153</v>
      </c>
      <c r="I14" t="s">
        <v>82</v>
      </c>
      <c r="J14" t="s">
        <v>154</v>
      </c>
      <c r="K14">
        <v>1621</v>
      </c>
      <c r="L14">
        <v>1621</v>
      </c>
      <c r="M14">
        <v>0</v>
      </c>
      <c r="N14">
        <v>0</v>
      </c>
      <c r="O14">
        <v>0</v>
      </c>
      <c r="P14">
        <v>96.144999999999996</v>
      </c>
      <c r="Q14">
        <v>122.349</v>
      </c>
      <c r="R14">
        <v>10000</v>
      </c>
      <c r="S14">
        <v>262040</v>
      </c>
      <c r="T14" s="9">
        <v>0</v>
      </c>
      <c r="U14" s="9">
        <v>165000</v>
      </c>
      <c r="V14" s="5">
        <f>Table13[[#This Row],[CONSUMPTION Q=(O-N)*P]]+Table13[[#This Row],[IMPORTED ENERGY]]-Table13[[#This Row],[EXPORTED ENERGY]]</f>
        <v>97040</v>
      </c>
      <c r="W14" s="5">
        <v>89593.73</v>
      </c>
      <c r="X14" s="5">
        <v>0</v>
      </c>
      <c r="Y14" s="5">
        <v>89593.73</v>
      </c>
      <c r="Z14" s="11">
        <f>(Table13[[#This Row],[NET CONSUMPTION T=Q+R-S]]-Table13[[#This Row],[TOTAL SALES W=U+V]])/Table13[[#This Row],[NET CONSUMPTION T=Q+R-S]]*100</f>
        <v>7.6734027205276227</v>
      </c>
      <c r="AA14">
        <v>7.67</v>
      </c>
      <c r="AB14">
        <v>1011415.42</v>
      </c>
      <c r="AC14">
        <v>740460.71</v>
      </c>
      <c r="AD14">
        <v>0.92330000000000001</v>
      </c>
      <c r="AE14">
        <v>0.73209999999999997</v>
      </c>
      <c r="AF14">
        <v>5.62</v>
      </c>
    </row>
    <row r="15" spans="1:34" x14ac:dyDescent="0.25">
      <c r="A15">
        <v>37</v>
      </c>
      <c r="B15" t="s">
        <v>73</v>
      </c>
      <c r="C15" t="s">
        <v>74</v>
      </c>
      <c r="D15" t="s">
        <v>8</v>
      </c>
      <c r="E15" t="s">
        <v>142</v>
      </c>
      <c r="F15" t="s">
        <v>8</v>
      </c>
      <c r="H15" t="s">
        <v>155</v>
      </c>
      <c r="I15" t="s">
        <v>77</v>
      </c>
      <c r="J15" t="s">
        <v>156</v>
      </c>
      <c r="K15">
        <v>222</v>
      </c>
      <c r="L15">
        <v>222</v>
      </c>
      <c r="M15">
        <v>0</v>
      </c>
      <c r="N15">
        <v>222</v>
      </c>
      <c r="O15">
        <v>0</v>
      </c>
      <c r="P15">
        <v>604.92999999999995</v>
      </c>
      <c r="Q15">
        <v>624.06299999999999</v>
      </c>
      <c r="R15">
        <v>20000</v>
      </c>
      <c r="S15">
        <v>382660</v>
      </c>
      <c r="T15" s="9">
        <v>0</v>
      </c>
      <c r="U15" s="9">
        <v>0</v>
      </c>
      <c r="V15" s="5">
        <f>Table13[[#This Row],[CONSUMPTION Q=(O-N)*P]]+Table13[[#This Row],[IMPORTED ENERGY]]-Table13[[#This Row],[EXPORTED ENERGY]]</f>
        <v>382660</v>
      </c>
      <c r="W15" s="5">
        <v>0</v>
      </c>
      <c r="X15" s="5">
        <v>348526.00400000002</v>
      </c>
      <c r="Y15" s="5">
        <v>348526.00400000002</v>
      </c>
      <c r="Z15" s="11">
        <f>(Table13[[#This Row],[NET CONSUMPTION T=Q+R-S]]-Table13[[#This Row],[TOTAL SALES W=U+V]])/Table13[[#This Row],[NET CONSUMPTION T=Q+R-S]]*100</f>
        <v>8.9201892019024669</v>
      </c>
      <c r="AA15">
        <v>8.92</v>
      </c>
      <c r="AB15">
        <v>2045847.74</v>
      </c>
      <c r="AC15">
        <v>2045847.74</v>
      </c>
      <c r="AD15">
        <v>0.91080000000000005</v>
      </c>
      <c r="AE15">
        <v>1</v>
      </c>
      <c r="AF15">
        <v>8.92</v>
      </c>
    </row>
    <row r="16" spans="1:34" x14ac:dyDescent="0.25">
      <c r="A16">
        <v>38</v>
      </c>
      <c r="B16" t="s">
        <v>73</v>
      </c>
      <c r="C16" t="s">
        <v>74</v>
      </c>
      <c r="D16" t="s">
        <v>8</v>
      </c>
      <c r="E16" t="s">
        <v>142</v>
      </c>
      <c r="F16" t="s">
        <v>8</v>
      </c>
      <c r="H16" t="s">
        <v>157</v>
      </c>
      <c r="I16" t="s">
        <v>77</v>
      </c>
      <c r="J16" t="s">
        <v>158</v>
      </c>
      <c r="K16">
        <v>209</v>
      </c>
      <c r="L16">
        <v>209</v>
      </c>
      <c r="M16">
        <v>0</v>
      </c>
      <c r="N16">
        <v>209</v>
      </c>
      <c r="O16">
        <v>0</v>
      </c>
      <c r="P16">
        <v>565.99599999999998</v>
      </c>
      <c r="Q16">
        <v>582.99400000000003</v>
      </c>
      <c r="R16">
        <v>20000</v>
      </c>
      <c r="S16">
        <v>339960</v>
      </c>
      <c r="T16" s="9">
        <v>48000</v>
      </c>
      <c r="U16" s="9">
        <v>0</v>
      </c>
      <c r="V16" s="5">
        <f>Table13[[#This Row],[CONSUMPTION Q=(O-N)*P]]+Table13[[#This Row],[IMPORTED ENERGY]]-Table13[[#This Row],[EXPORTED ENERGY]]</f>
        <v>387960</v>
      </c>
      <c r="W16" s="5">
        <v>0</v>
      </c>
      <c r="X16" s="5">
        <v>360153.016</v>
      </c>
      <c r="Y16" s="5">
        <v>360153.016</v>
      </c>
      <c r="Z16" s="11">
        <f>(Table13[[#This Row],[NET CONSUMPTION T=Q+R-S]]-Table13[[#This Row],[TOTAL SALES W=U+V]])/Table13[[#This Row],[NET CONSUMPTION T=Q+R-S]]*100</f>
        <v>7.1674873698319406</v>
      </c>
      <c r="AA16">
        <v>9.5</v>
      </c>
      <c r="AB16">
        <v>2114097.73</v>
      </c>
      <c r="AC16">
        <v>2114097.73</v>
      </c>
      <c r="AD16">
        <v>0.90500000000000003</v>
      </c>
      <c r="AE16">
        <v>1</v>
      </c>
      <c r="AF16">
        <v>9.5</v>
      </c>
    </row>
    <row r="17" spans="1:32" x14ac:dyDescent="0.25">
      <c r="A17">
        <v>39</v>
      </c>
      <c r="B17" t="s">
        <v>73</v>
      </c>
      <c r="C17" t="s">
        <v>74</v>
      </c>
      <c r="D17" t="s">
        <v>8</v>
      </c>
      <c r="E17" t="s">
        <v>142</v>
      </c>
      <c r="F17" t="s">
        <v>8</v>
      </c>
      <c r="H17" t="s">
        <v>159</v>
      </c>
      <c r="I17" t="s">
        <v>82</v>
      </c>
      <c r="J17" t="s">
        <v>160</v>
      </c>
      <c r="K17">
        <v>1057</v>
      </c>
      <c r="L17">
        <v>1057</v>
      </c>
      <c r="M17">
        <v>0</v>
      </c>
      <c r="N17">
        <v>0</v>
      </c>
      <c r="O17">
        <v>0</v>
      </c>
      <c r="P17">
        <v>0</v>
      </c>
      <c r="Q17">
        <v>0</v>
      </c>
      <c r="R17">
        <v>20000</v>
      </c>
      <c r="S17">
        <v>0</v>
      </c>
      <c r="T17" s="9">
        <v>67000</v>
      </c>
      <c r="U17" s="9">
        <v>0</v>
      </c>
      <c r="V17" s="5">
        <f>Table13[[#This Row],[CONSUMPTION Q=(O-N)*P]]+Table13[[#This Row],[IMPORTED ENERGY]]-Table13[[#This Row],[EXPORTED ENERGY]]</f>
        <v>67000</v>
      </c>
      <c r="W17" s="5">
        <v>61075</v>
      </c>
      <c r="X17" s="5">
        <v>0</v>
      </c>
      <c r="Y17" s="5">
        <v>61075</v>
      </c>
      <c r="Z17" s="11">
        <f>(Table13[[#This Row],[NET CONSUMPTION T=Q+R-S]]-Table13[[#This Row],[TOTAL SALES W=U+V]])/Table13[[#This Row],[NET CONSUMPTION T=Q+R-S]]*100</f>
        <v>8.8432835820895512</v>
      </c>
      <c r="AA17">
        <v>-6107500</v>
      </c>
      <c r="AB17">
        <v>664816.18000000005</v>
      </c>
      <c r="AC17">
        <v>457260.18</v>
      </c>
      <c r="AD17">
        <v>0</v>
      </c>
      <c r="AE17">
        <v>0.68779999999999997</v>
      </c>
      <c r="AF17">
        <v>68.78</v>
      </c>
    </row>
    <row r="18" spans="1:32" x14ac:dyDescent="0.25">
      <c r="A18">
        <v>40</v>
      </c>
      <c r="B18" t="s">
        <v>73</v>
      </c>
      <c r="C18" t="s">
        <v>74</v>
      </c>
      <c r="D18" t="s">
        <v>8</v>
      </c>
      <c r="E18" t="s">
        <v>142</v>
      </c>
      <c r="F18" t="s">
        <v>8</v>
      </c>
      <c r="H18" t="s">
        <v>161</v>
      </c>
      <c r="I18" t="s">
        <v>82</v>
      </c>
      <c r="J18" t="s">
        <v>162</v>
      </c>
      <c r="K18">
        <v>1114</v>
      </c>
      <c r="L18">
        <v>1114</v>
      </c>
      <c r="M18">
        <v>0</v>
      </c>
      <c r="N18">
        <v>0</v>
      </c>
      <c r="O18">
        <v>0</v>
      </c>
      <c r="P18">
        <v>6580</v>
      </c>
      <c r="Q18">
        <v>6936.1</v>
      </c>
      <c r="R18">
        <v>1000</v>
      </c>
      <c r="S18">
        <v>356100</v>
      </c>
      <c r="T18" s="9">
        <v>0</v>
      </c>
      <c r="U18" s="9">
        <v>273000</v>
      </c>
      <c r="V18" s="5">
        <f>Table13[[#This Row],[CONSUMPTION Q=(O-N)*P]]+Table13[[#This Row],[IMPORTED ENERGY]]-Table13[[#This Row],[EXPORTED ENERGY]]</f>
        <v>83100</v>
      </c>
      <c r="W18" s="5">
        <v>76097</v>
      </c>
      <c r="X18" s="5">
        <v>0</v>
      </c>
      <c r="Y18" s="5">
        <v>76097</v>
      </c>
      <c r="Z18" s="11">
        <f>(Table13[[#This Row],[NET CONSUMPTION T=Q+R-S]]-Table13[[#This Row],[TOTAL SALES W=U+V]])/Table13[[#This Row],[NET CONSUMPTION T=Q+R-S]]*100</f>
        <v>8.42719614921781</v>
      </c>
      <c r="AA18">
        <v>-8.5500000000000007</v>
      </c>
      <c r="AB18">
        <v>815183.59</v>
      </c>
      <c r="AC18">
        <v>623376.59</v>
      </c>
      <c r="AD18">
        <v>1.0854999999999999</v>
      </c>
      <c r="AE18">
        <v>0.76470000000000005</v>
      </c>
      <c r="AF18">
        <v>-6.54</v>
      </c>
    </row>
    <row r="19" spans="1:32" x14ac:dyDescent="0.25">
      <c r="A19">
        <v>41</v>
      </c>
      <c r="B19" t="s">
        <v>73</v>
      </c>
      <c r="C19" t="s">
        <v>74</v>
      </c>
      <c r="D19" t="s">
        <v>8</v>
      </c>
      <c r="E19" t="s">
        <v>142</v>
      </c>
      <c r="F19" t="s">
        <v>8</v>
      </c>
      <c r="H19" t="s">
        <v>163</v>
      </c>
      <c r="I19" t="s">
        <v>77</v>
      </c>
      <c r="J19" t="s">
        <v>164</v>
      </c>
      <c r="K19">
        <v>363</v>
      </c>
      <c r="L19">
        <v>363</v>
      </c>
      <c r="M19">
        <v>0</v>
      </c>
      <c r="N19">
        <v>363</v>
      </c>
      <c r="O19">
        <v>0</v>
      </c>
      <c r="P19">
        <v>7963.7</v>
      </c>
      <c r="Q19">
        <v>8193.9</v>
      </c>
      <c r="R19">
        <v>2000</v>
      </c>
      <c r="S19">
        <v>460400</v>
      </c>
      <c r="T19" s="9">
        <v>72000</v>
      </c>
      <c r="U19" s="9">
        <v>0</v>
      </c>
      <c r="V19" s="5">
        <f>Table13[[#This Row],[CONSUMPTION Q=(O-N)*P]]+Table13[[#This Row],[IMPORTED ENERGY]]-Table13[[#This Row],[EXPORTED ENERGY]]</f>
        <v>532400</v>
      </c>
      <c r="W19" s="5">
        <v>0</v>
      </c>
      <c r="X19" s="5">
        <v>509790.68699999998</v>
      </c>
      <c r="Y19" s="5">
        <v>509790.68699999998</v>
      </c>
      <c r="Z19" s="11">
        <f>(Table13[[#This Row],[NET CONSUMPTION T=Q+R-S]]-Table13[[#This Row],[TOTAL SALES W=U+V]])/Table13[[#This Row],[NET CONSUMPTION T=Q+R-S]]*100</f>
        <v>4.2466778737791175</v>
      </c>
      <c r="AA19">
        <v>9.0299999999999994</v>
      </c>
      <c r="AB19">
        <v>2992471.67</v>
      </c>
      <c r="AC19">
        <v>2992471.67</v>
      </c>
      <c r="AD19">
        <v>0.90969999999999995</v>
      </c>
      <c r="AE19">
        <v>1</v>
      </c>
      <c r="AF19">
        <v>9.0299999999999994</v>
      </c>
    </row>
    <row r="20" spans="1:32" x14ac:dyDescent="0.25">
      <c r="A20">
        <v>42</v>
      </c>
      <c r="B20" t="s">
        <v>73</v>
      </c>
      <c r="C20" t="s">
        <v>74</v>
      </c>
      <c r="D20" t="s">
        <v>8</v>
      </c>
      <c r="E20" t="s">
        <v>142</v>
      </c>
      <c r="F20" t="s">
        <v>8</v>
      </c>
      <c r="H20" t="s">
        <v>165</v>
      </c>
      <c r="I20" t="s">
        <v>77</v>
      </c>
      <c r="J20" t="s">
        <v>166</v>
      </c>
      <c r="K20">
        <v>331</v>
      </c>
      <c r="L20">
        <v>331</v>
      </c>
      <c r="M20">
        <v>0</v>
      </c>
      <c r="N20">
        <v>320</v>
      </c>
      <c r="O20">
        <v>0</v>
      </c>
      <c r="P20">
        <v>11458.7</v>
      </c>
      <c r="Q20">
        <v>11617.1</v>
      </c>
      <c r="R20">
        <v>2000</v>
      </c>
      <c r="S20">
        <v>316800</v>
      </c>
      <c r="T20" s="9">
        <v>166000</v>
      </c>
      <c r="U20" s="9">
        <v>0</v>
      </c>
      <c r="V20" s="5">
        <f>Table13[[#This Row],[CONSUMPTION Q=(O-N)*P]]+Table13[[#This Row],[IMPORTED ENERGY]]-Table13[[#This Row],[EXPORTED ENERGY]]</f>
        <v>482800</v>
      </c>
      <c r="W20" s="5">
        <v>180</v>
      </c>
      <c r="X20" s="5">
        <v>454852.70299999998</v>
      </c>
      <c r="Y20" s="5">
        <v>455032.70299999998</v>
      </c>
      <c r="Z20" s="11">
        <f>(Table13[[#This Row],[NET CONSUMPTION T=Q+R-S]]-Table13[[#This Row],[TOTAL SALES W=U+V]])/Table13[[#This Row],[NET CONSUMPTION T=Q+R-S]]*100</f>
        <v>5.7513042667771375</v>
      </c>
      <c r="AA20">
        <v>9.5</v>
      </c>
      <c r="AB20">
        <v>2672550.58</v>
      </c>
      <c r="AC20">
        <v>2672502.58</v>
      </c>
      <c r="AD20">
        <v>0.90500000000000003</v>
      </c>
      <c r="AE20">
        <v>1</v>
      </c>
      <c r="AF20">
        <v>9.5</v>
      </c>
    </row>
    <row r="21" spans="1:32" x14ac:dyDescent="0.25">
      <c r="A21">
        <v>6</v>
      </c>
      <c r="B21" t="s">
        <v>73</v>
      </c>
      <c r="C21" t="s">
        <v>74</v>
      </c>
      <c r="D21" t="s">
        <v>8</v>
      </c>
      <c r="E21" t="s">
        <v>88</v>
      </c>
      <c r="F21" t="s">
        <v>8</v>
      </c>
      <c r="H21" t="s">
        <v>89</v>
      </c>
      <c r="I21" t="s">
        <v>82</v>
      </c>
      <c r="J21" t="s">
        <v>90</v>
      </c>
      <c r="K21">
        <v>1530</v>
      </c>
      <c r="L21">
        <v>1530</v>
      </c>
      <c r="M21">
        <v>0</v>
      </c>
      <c r="N21">
        <v>0</v>
      </c>
      <c r="O21">
        <v>0</v>
      </c>
      <c r="P21">
        <v>10242</v>
      </c>
      <c r="Q21">
        <v>10406</v>
      </c>
      <c r="R21">
        <v>2000</v>
      </c>
      <c r="S21">
        <v>328000</v>
      </c>
      <c r="T21" s="9">
        <v>0</v>
      </c>
      <c r="U21" s="9">
        <v>230000</v>
      </c>
      <c r="V21" s="5">
        <f>Table13[[#This Row],[CONSUMPTION Q=(O-N)*P]]+Table13[[#This Row],[IMPORTED ENERGY]]-Table13[[#This Row],[EXPORTED ENERGY]]</f>
        <v>98000</v>
      </c>
      <c r="W21" s="5">
        <v>91044.44</v>
      </c>
      <c r="X21" s="5">
        <v>0</v>
      </c>
      <c r="Y21" s="5">
        <v>91044.44</v>
      </c>
      <c r="Z21" s="11">
        <f>(Table13[[#This Row],[NET CONSUMPTION T=Q+R-S]]-Table13[[#This Row],[TOTAL SALES W=U+V]])/Table13[[#This Row],[NET CONSUMPTION T=Q+R-S]]*100</f>
        <v>7.0975102040816305</v>
      </c>
      <c r="AA21">
        <v>-0.05</v>
      </c>
      <c r="AB21">
        <v>951986.43</v>
      </c>
      <c r="AC21">
        <v>675412.3</v>
      </c>
      <c r="AD21">
        <v>1.0004999999999999</v>
      </c>
      <c r="AE21">
        <v>0.70950000000000002</v>
      </c>
      <c r="AF21">
        <v>-0.04</v>
      </c>
    </row>
    <row r="22" spans="1:32" x14ac:dyDescent="0.25">
      <c r="A22">
        <v>7</v>
      </c>
      <c r="B22" t="s">
        <v>73</v>
      </c>
      <c r="C22" t="s">
        <v>74</v>
      </c>
      <c r="D22" t="s">
        <v>8</v>
      </c>
      <c r="E22" t="s">
        <v>88</v>
      </c>
      <c r="F22" t="s">
        <v>8</v>
      </c>
      <c r="H22" t="s">
        <v>91</v>
      </c>
      <c r="I22" t="s">
        <v>82</v>
      </c>
      <c r="J22" t="s">
        <v>92</v>
      </c>
      <c r="K22">
        <v>1391</v>
      </c>
      <c r="L22">
        <v>1391</v>
      </c>
      <c r="M22">
        <v>0</v>
      </c>
      <c r="N22">
        <v>0</v>
      </c>
      <c r="O22">
        <v>0</v>
      </c>
      <c r="P22">
        <v>6823.8</v>
      </c>
      <c r="Q22">
        <v>6921.5</v>
      </c>
      <c r="R22">
        <v>2000</v>
      </c>
      <c r="S22">
        <v>195400</v>
      </c>
      <c r="T22" s="9">
        <v>0</v>
      </c>
      <c r="U22" s="9">
        <v>100000</v>
      </c>
      <c r="V22" s="5">
        <f>Table13[[#This Row],[CONSUMPTION Q=(O-N)*P]]+Table13[[#This Row],[IMPORTED ENERGY]]-Table13[[#This Row],[EXPORTED ENERGY]]</f>
        <v>95400</v>
      </c>
      <c r="W22" s="5">
        <v>87219.5</v>
      </c>
      <c r="X22" s="5">
        <v>0</v>
      </c>
      <c r="Y22" s="5">
        <v>87219.5</v>
      </c>
      <c r="Z22" s="11">
        <f>(Table13[[#This Row],[NET CONSUMPTION T=Q+R-S]]-Table13[[#This Row],[TOTAL SALES W=U+V]])/Table13[[#This Row],[NET CONSUMPTION T=Q+R-S]]*100</f>
        <v>8.5749475890985316</v>
      </c>
      <c r="AA22">
        <v>-57.44</v>
      </c>
      <c r="AB22">
        <v>879127.86</v>
      </c>
      <c r="AC22">
        <v>596153.93000000005</v>
      </c>
      <c r="AD22">
        <v>1.5744</v>
      </c>
      <c r="AE22">
        <v>0.67810000000000004</v>
      </c>
      <c r="AF22">
        <v>-38.950000000000003</v>
      </c>
    </row>
    <row r="23" spans="1:32" x14ac:dyDescent="0.25">
      <c r="A23">
        <v>8</v>
      </c>
      <c r="B23" t="s">
        <v>73</v>
      </c>
      <c r="C23" t="s">
        <v>74</v>
      </c>
      <c r="D23" t="s">
        <v>8</v>
      </c>
      <c r="E23" t="s">
        <v>88</v>
      </c>
      <c r="F23" t="s">
        <v>8</v>
      </c>
      <c r="H23" t="s">
        <v>93</v>
      </c>
      <c r="I23" t="s">
        <v>77</v>
      </c>
      <c r="J23" t="s">
        <v>94</v>
      </c>
      <c r="K23">
        <v>281</v>
      </c>
      <c r="L23">
        <v>281</v>
      </c>
      <c r="M23">
        <v>0</v>
      </c>
      <c r="N23">
        <v>281</v>
      </c>
      <c r="O23">
        <v>0</v>
      </c>
      <c r="P23">
        <v>9709.6</v>
      </c>
      <c r="Q23">
        <v>9966.4</v>
      </c>
      <c r="R23">
        <v>2000</v>
      </c>
      <c r="S23">
        <v>513600</v>
      </c>
      <c r="T23" s="9">
        <v>30000</v>
      </c>
      <c r="U23" s="9">
        <v>0</v>
      </c>
      <c r="V23" s="5">
        <f>Table13[[#This Row],[CONSUMPTION Q=(O-N)*P]]+Table13[[#This Row],[IMPORTED ENERGY]]-Table13[[#This Row],[EXPORTED ENERGY]]</f>
        <v>543600</v>
      </c>
      <c r="W23" s="5">
        <v>0</v>
      </c>
      <c r="X23" s="5">
        <v>519107.00400000002</v>
      </c>
      <c r="Y23" s="5">
        <v>519107.00400000002</v>
      </c>
      <c r="Z23" s="11">
        <f>(Table13[[#This Row],[NET CONSUMPTION T=Q+R-S]]-Table13[[#This Row],[TOTAL SALES W=U+V]])/Table13[[#This Row],[NET CONSUMPTION T=Q+R-S]]*100</f>
        <v>4.5057019867549641</v>
      </c>
      <c r="AA23">
        <v>9.5</v>
      </c>
      <c r="AB23">
        <v>3047158.52</v>
      </c>
      <c r="AC23">
        <v>3047158.52</v>
      </c>
      <c r="AD23">
        <v>0.90500000000000003</v>
      </c>
      <c r="AE23">
        <v>1</v>
      </c>
      <c r="AF23">
        <v>9.5</v>
      </c>
    </row>
    <row r="24" spans="1:32" x14ac:dyDescent="0.25">
      <c r="A24">
        <v>9</v>
      </c>
      <c r="B24" t="s">
        <v>73</v>
      </c>
      <c r="C24" t="s">
        <v>74</v>
      </c>
      <c r="D24" t="s">
        <v>8</v>
      </c>
      <c r="E24" t="s">
        <v>88</v>
      </c>
      <c r="F24" t="s">
        <v>8</v>
      </c>
      <c r="H24" t="s">
        <v>95</v>
      </c>
      <c r="I24" t="s">
        <v>77</v>
      </c>
      <c r="J24" t="s">
        <v>96</v>
      </c>
      <c r="K24">
        <v>321</v>
      </c>
      <c r="L24">
        <v>321</v>
      </c>
      <c r="M24">
        <v>0</v>
      </c>
      <c r="N24">
        <v>320</v>
      </c>
      <c r="O24">
        <v>0</v>
      </c>
      <c r="P24">
        <v>11088.5</v>
      </c>
      <c r="Q24">
        <v>11381.9</v>
      </c>
      <c r="R24">
        <v>2000</v>
      </c>
      <c r="S24">
        <v>586800</v>
      </c>
      <c r="T24" s="9">
        <v>30000</v>
      </c>
      <c r="U24" s="9">
        <v>0</v>
      </c>
      <c r="V24" s="5">
        <f>Table13[[#This Row],[CONSUMPTION Q=(O-N)*P]]+Table13[[#This Row],[IMPORTED ENERGY]]-Table13[[#This Row],[EXPORTED ENERGY]]</f>
        <v>616800</v>
      </c>
      <c r="W24" s="5">
        <v>1</v>
      </c>
      <c r="X24" s="5">
        <v>594357.53</v>
      </c>
      <c r="Y24" s="5">
        <v>594358.53</v>
      </c>
      <c r="Z24" s="11">
        <f>(Table13[[#This Row],[NET CONSUMPTION T=Q+R-S]]-Table13[[#This Row],[TOTAL SALES W=U+V]])/Table13[[#This Row],[NET CONSUMPTION T=Q+R-S]]*100</f>
        <v>3.6383706225680887</v>
      </c>
      <c r="AA24">
        <v>10.33</v>
      </c>
      <c r="AB24">
        <v>3489019.1</v>
      </c>
      <c r="AC24">
        <v>3488879.1</v>
      </c>
      <c r="AD24">
        <v>0.89670000000000005</v>
      </c>
      <c r="AE24">
        <v>1</v>
      </c>
      <c r="AF24">
        <v>10.33</v>
      </c>
    </row>
    <row r="25" spans="1:32" x14ac:dyDescent="0.25">
      <c r="A25">
        <v>10</v>
      </c>
      <c r="B25" t="s">
        <v>73</v>
      </c>
      <c r="C25" t="s">
        <v>74</v>
      </c>
      <c r="D25" t="s">
        <v>8</v>
      </c>
      <c r="E25" t="s">
        <v>88</v>
      </c>
      <c r="F25" t="s">
        <v>8</v>
      </c>
      <c r="H25" t="s">
        <v>97</v>
      </c>
      <c r="I25" t="s">
        <v>82</v>
      </c>
      <c r="J25" t="s">
        <v>98</v>
      </c>
      <c r="K25">
        <v>1282</v>
      </c>
      <c r="L25">
        <v>1282</v>
      </c>
      <c r="M25">
        <v>0</v>
      </c>
      <c r="N25">
        <v>0</v>
      </c>
      <c r="O25">
        <v>0</v>
      </c>
      <c r="P25">
        <v>6692.9</v>
      </c>
      <c r="Q25">
        <v>6913.7</v>
      </c>
      <c r="R25">
        <v>1000</v>
      </c>
      <c r="S25">
        <v>220800</v>
      </c>
      <c r="T25" s="9">
        <v>0</v>
      </c>
      <c r="U25" s="9">
        <v>134000</v>
      </c>
      <c r="V25" s="5">
        <f>Table13[[#This Row],[CONSUMPTION Q=(O-N)*P]]+Table13[[#This Row],[IMPORTED ENERGY]]-Table13[[#This Row],[EXPORTED ENERGY]]</f>
        <v>86800</v>
      </c>
      <c r="W25" s="5">
        <v>79892</v>
      </c>
      <c r="X25" s="5">
        <v>0</v>
      </c>
      <c r="Y25" s="5">
        <v>79892</v>
      </c>
      <c r="Z25" s="11">
        <f>(Table13[[#This Row],[NET CONSUMPTION T=Q+R-S]]-Table13[[#This Row],[TOTAL SALES W=U+V]])/Table13[[#This Row],[NET CONSUMPTION T=Q+R-S]]*100</f>
        <v>7.9585253456221192</v>
      </c>
      <c r="AA25">
        <v>10.029999999999999</v>
      </c>
      <c r="AB25">
        <v>883391.13</v>
      </c>
      <c r="AC25">
        <v>844893.61</v>
      </c>
      <c r="AD25">
        <v>0.89970000000000006</v>
      </c>
      <c r="AE25">
        <v>0.95640000000000003</v>
      </c>
      <c r="AF25">
        <v>9.59</v>
      </c>
    </row>
    <row r="26" spans="1:32" x14ac:dyDescent="0.25">
      <c r="A26">
        <v>11</v>
      </c>
      <c r="B26" t="s">
        <v>73</v>
      </c>
      <c r="C26" t="s">
        <v>74</v>
      </c>
      <c r="D26" t="s">
        <v>8</v>
      </c>
      <c r="E26" t="s">
        <v>88</v>
      </c>
      <c r="F26" t="s">
        <v>8</v>
      </c>
      <c r="H26" t="s">
        <v>99</v>
      </c>
      <c r="I26" t="s">
        <v>77</v>
      </c>
      <c r="J26" t="s">
        <v>100</v>
      </c>
      <c r="K26">
        <v>244</v>
      </c>
      <c r="L26">
        <v>244</v>
      </c>
      <c r="M26">
        <v>0</v>
      </c>
      <c r="N26">
        <v>241</v>
      </c>
      <c r="O26">
        <v>0</v>
      </c>
      <c r="P26">
        <v>11605.3</v>
      </c>
      <c r="Q26">
        <v>11924.5</v>
      </c>
      <c r="R26">
        <v>2000</v>
      </c>
      <c r="S26">
        <v>638400</v>
      </c>
      <c r="T26" s="9">
        <v>0</v>
      </c>
      <c r="U26" s="9">
        <v>120000</v>
      </c>
      <c r="V26" s="5">
        <f>Table13[[#This Row],[CONSUMPTION Q=(O-N)*P]]+Table13[[#This Row],[IMPORTED ENERGY]]-Table13[[#This Row],[EXPORTED ENERGY]]</f>
        <v>518400</v>
      </c>
      <c r="W26" s="5">
        <v>29</v>
      </c>
      <c r="X26" s="5">
        <v>469123.77</v>
      </c>
      <c r="Y26" s="5">
        <v>469152.77</v>
      </c>
      <c r="Z26" s="11">
        <f>(Table13[[#This Row],[NET CONSUMPTION T=Q+R-S]]-Table13[[#This Row],[TOTAL SALES W=U+V]])/Table13[[#This Row],[NET CONSUMPTION T=Q+R-S]]*100</f>
        <v>9.4998514660493782</v>
      </c>
      <c r="AA26">
        <v>9.5</v>
      </c>
      <c r="AB26">
        <v>2755051.57</v>
      </c>
      <c r="AC26">
        <v>2754902.57</v>
      </c>
      <c r="AD26">
        <v>0.90500000000000003</v>
      </c>
      <c r="AE26">
        <v>0.99990000000000001</v>
      </c>
      <c r="AF26">
        <v>9.5</v>
      </c>
    </row>
    <row r="27" spans="1:32" x14ac:dyDescent="0.25">
      <c r="A27">
        <v>12</v>
      </c>
      <c r="B27" t="s">
        <v>73</v>
      </c>
      <c r="C27" t="s">
        <v>74</v>
      </c>
      <c r="D27" t="s">
        <v>8</v>
      </c>
      <c r="E27" t="s">
        <v>88</v>
      </c>
      <c r="F27" t="s">
        <v>8</v>
      </c>
      <c r="H27" t="s">
        <v>101</v>
      </c>
      <c r="I27" t="s">
        <v>77</v>
      </c>
      <c r="J27" t="s">
        <v>102</v>
      </c>
      <c r="K27">
        <v>252</v>
      </c>
      <c r="L27">
        <v>252</v>
      </c>
      <c r="M27">
        <v>0</v>
      </c>
      <c r="N27">
        <v>252</v>
      </c>
      <c r="O27">
        <v>0</v>
      </c>
      <c r="P27">
        <v>10554.6</v>
      </c>
      <c r="Q27">
        <v>10769.3</v>
      </c>
      <c r="R27">
        <v>2000</v>
      </c>
      <c r="S27">
        <v>429400</v>
      </c>
      <c r="T27" s="9">
        <v>82000</v>
      </c>
      <c r="U27" s="9">
        <v>0</v>
      </c>
      <c r="V27" s="5">
        <f>Table13[[#This Row],[CONSUMPTION Q=(O-N)*P]]+Table13[[#This Row],[IMPORTED ENERGY]]-Table13[[#This Row],[EXPORTED ENERGY]]</f>
        <v>511400</v>
      </c>
      <c r="W27" s="5">
        <v>0</v>
      </c>
      <c r="X27" s="5">
        <v>500000</v>
      </c>
      <c r="Y27" s="5">
        <v>500000</v>
      </c>
      <c r="Z27" s="11">
        <f>(Table13[[#This Row],[NET CONSUMPTION T=Q+R-S]]-Table13[[#This Row],[TOTAL SALES W=U+V]])/Table13[[#This Row],[NET CONSUMPTION T=Q+R-S]]*100</f>
        <v>2.2291748142354324</v>
      </c>
      <c r="AA27">
        <v>10.94</v>
      </c>
      <c r="AB27">
        <v>2935000</v>
      </c>
      <c r="AC27">
        <v>2935000</v>
      </c>
      <c r="AD27">
        <v>0.89059999999999995</v>
      </c>
      <c r="AE27">
        <v>1</v>
      </c>
      <c r="AF27">
        <v>10.94</v>
      </c>
    </row>
    <row r="28" spans="1:32" x14ac:dyDescent="0.25">
      <c r="A28">
        <v>13</v>
      </c>
      <c r="B28" t="s">
        <v>73</v>
      </c>
      <c r="C28" t="s">
        <v>74</v>
      </c>
      <c r="D28" t="s">
        <v>8</v>
      </c>
      <c r="E28" t="s">
        <v>88</v>
      </c>
      <c r="F28" t="s">
        <v>8</v>
      </c>
      <c r="H28" t="s">
        <v>103</v>
      </c>
      <c r="I28" t="s">
        <v>104</v>
      </c>
      <c r="J28" t="s">
        <v>105</v>
      </c>
      <c r="K28">
        <v>4456</v>
      </c>
      <c r="L28">
        <v>4456</v>
      </c>
      <c r="M28">
        <v>0</v>
      </c>
      <c r="N28">
        <v>262</v>
      </c>
      <c r="O28">
        <v>0</v>
      </c>
      <c r="P28">
        <v>21690.9</v>
      </c>
      <c r="Q28">
        <v>22035.8</v>
      </c>
      <c r="R28">
        <v>2000</v>
      </c>
      <c r="S28">
        <v>689800</v>
      </c>
      <c r="T28" s="9">
        <v>103000</v>
      </c>
      <c r="U28" s="9">
        <v>0</v>
      </c>
      <c r="V28" s="5">
        <f>Table13[[#This Row],[CONSUMPTION Q=(O-N)*P]]+Table13[[#This Row],[IMPORTED ENERGY]]-Table13[[#This Row],[EXPORTED ENERGY]]</f>
        <v>792800</v>
      </c>
      <c r="W28" s="5">
        <v>311319.09000000003</v>
      </c>
      <c r="X28" s="5">
        <v>437733.35499999998</v>
      </c>
      <c r="Y28" s="5">
        <v>749052.44499999995</v>
      </c>
      <c r="Z28" s="11">
        <f>(Table13[[#This Row],[NET CONSUMPTION T=Q+R-S]]-Table13[[#This Row],[TOTAL SALES W=U+V]])/Table13[[#This Row],[NET CONSUMPTION T=Q+R-S]]*100</f>
        <v>5.5181073410696326</v>
      </c>
      <c r="AA28">
        <v>-8.59</v>
      </c>
      <c r="AB28">
        <v>5848121.3200000003</v>
      </c>
      <c r="AC28">
        <v>5323335.08</v>
      </c>
      <c r="AD28">
        <v>1.0859000000000001</v>
      </c>
      <c r="AE28">
        <v>0.9103</v>
      </c>
      <c r="AF28">
        <v>-7.82</v>
      </c>
    </row>
    <row r="29" spans="1:32" x14ac:dyDescent="0.25">
      <c r="A29">
        <v>14</v>
      </c>
      <c r="B29" t="s">
        <v>73</v>
      </c>
      <c r="C29" t="s">
        <v>74</v>
      </c>
      <c r="D29" t="s">
        <v>8</v>
      </c>
      <c r="E29" t="s">
        <v>88</v>
      </c>
      <c r="F29" t="s">
        <v>8</v>
      </c>
      <c r="H29" t="s">
        <v>106</v>
      </c>
      <c r="I29" t="s">
        <v>77</v>
      </c>
      <c r="J29" t="s">
        <v>107</v>
      </c>
      <c r="K29">
        <v>324</v>
      </c>
      <c r="L29">
        <v>324</v>
      </c>
      <c r="M29">
        <v>0</v>
      </c>
      <c r="N29">
        <v>321</v>
      </c>
      <c r="O29">
        <v>0</v>
      </c>
      <c r="P29">
        <v>7544.7</v>
      </c>
      <c r="Q29">
        <v>7655.2</v>
      </c>
      <c r="R29">
        <v>4000</v>
      </c>
      <c r="S29">
        <v>442000</v>
      </c>
      <c r="T29" s="9">
        <v>50000</v>
      </c>
      <c r="U29" s="9">
        <v>0</v>
      </c>
      <c r="V29" s="5">
        <f>Table13[[#This Row],[CONSUMPTION Q=(O-N)*P]]+Table13[[#This Row],[IMPORTED ENERGY]]-Table13[[#This Row],[EXPORTED ENERGY]]</f>
        <v>492000</v>
      </c>
      <c r="W29" s="5">
        <v>39</v>
      </c>
      <c r="X29" s="5">
        <v>445221.92099999997</v>
      </c>
      <c r="Y29" s="5">
        <v>445260.92099999997</v>
      </c>
      <c r="Z29" s="11">
        <f>(Table13[[#This Row],[NET CONSUMPTION T=Q+R-S]]-Table13[[#This Row],[TOTAL SALES W=U+V]])/Table13[[#This Row],[NET CONSUMPTION T=Q+R-S]]*100</f>
        <v>9.4998128048780544</v>
      </c>
      <c r="AA29">
        <v>9.5</v>
      </c>
      <c r="AB29">
        <v>2614090.71</v>
      </c>
      <c r="AC29">
        <v>2613611.71</v>
      </c>
      <c r="AD29">
        <v>0.90500000000000003</v>
      </c>
      <c r="AE29">
        <v>0.99980000000000002</v>
      </c>
      <c r="AF29">
        <v>9.5</v>
      </c>
    </row>
    <row r="30" spans="1:32" x14ac:dyDescent="0.25">
      <c r="A30">
        <v>15</v>
      </c>
      <c r="B30" t="s">
        <v>73</v>
      </c>
      <c r="C30" t="s">
        <v>74</v>
      </c>
      <c r="D30" t="s">
        <v>8</v>
      </c>
      <c r="E30" t="s">
        <v>88</v>
      </c>
      <c r="F30" t="s">
        <v>8</v>
      </c>
      <c r="H30" t="s">
        <v>108</v>
      </c>
      <c r="I30" t="s">
        <v>77</v>
      </c>
      <c r="J30" t="s">
        <v>109</v>
      </c>
      <c r="K30">
        <v>277</v>
      </c>
      <c r="L30">
        <v>277</v>
      </c>
      <c r="M30">
        <v>0</v>
      </c>
      <c r="N30">
        <v>276</v>
      </c>
      <c r="O30">
        <v>0</v>
      </c>
      <c r="P30">
        <v>7915</v>
      </c>
      <c r="Q30">
        <v>8073.9</v>
      </c>
      <c r="R30">
        <v>4000</v>
      </c>
      <c r="S30">
        <v>635600</v>
      </c>
      <c r="T30" s="9">
        <v>0</v>
      </c>
      <c r="U30" s="9">
        <v>50000</v>
      </c>
      <c r="V30" s="5">
        <f>Table13[[#This Row],[CONSUMPTION Q=(O-N)*P]]+Table13[[#This Row],[IMPORTED ENERGY]]-Table13[[#This Row],[EXPORTED ENERGY]]</f>
        <v>585600</v>
      </c>
      <c r="W30" s="5">
        <v>13</v>
      </c>
      <c r="X30" s="5">
        <v>529956.02800000005</v>
      </c>
      <c r="Y30" s="5">
        <v>529969.02800000005</v>
      </c>
      <c r="Z30" s="11">
        <f>(Table13[[#This Row],[NET CONSUMPTION T=Q+R-S]]-Table13[[#This Row],[TOTAL SALES W=U+V]])/Table13[[#This Row],[NET CONSUMPTION T=Q+R-S]]*100</f>
        <v>9.4998244535519039</v>
      </c>
      <c r="AA30">
        <v>9.5</v>
      </c>
      <c r="AB30">
        <v>3111052.6</v>
      </c>
      <c r="AC30">
        <v>3111047.6</v>
      </c>
      <c r="AD30">
        <v>0.90500000000000003</v>
      </c>
      <c r="AE30">
        <v>1</v>
      </c>
      <c r="AF30">
        <v>9.5</v>
      </c>
    </row>
    <row r="31" spans="1:32" x14ac:dyDescent="0.25">
      <c r="A31">
        <v>16</v>
      </c>
      <c r="B31" t="s">
        <v>73</v>
      </c>
      <c r="C31" t="s">
        <v>74</v>
      </c>
      <c r="D31" t="s">
        <v>8</v>
      </c>
      <c r="E31" t="s">
        <v>88</v>
      </c>
      <c r="F31" t="s">
        <v>8</v>
      </c>
      <c r="H31" t="s">
        <v>110</v>
      </c>
      <c r="I31" t="s">
        <v>77</v>
      </c>
      <c r="J31" t="s">
        <v>111</v>
      </c>
      <c r="K31">
        <v>346</v>
      </c>
      <c r="L31">
        <v>346</v>
      </c>
      <c r="M31">
        <v>0</v>
      </c>
      <c r="N31">
        <v>342</v>
      </c>
      <c r="O31">
        <v>0</v>
      </c>
      <c r="P31">
        <v>7940.8</v>
      </c>
      <c r="Q31">
        <v>7977.9</v>
      </c>
      <c r="R31">
        <v>4000</v>
      </c>
      <c r="S31">
        <v>148400</v>
      </c>
      <c r="T31" s="9">
        <v>377000</v>
      </c>
      <c r="U31" s="9">
        <v>0</v>
      </c>
      <c r="V31" s="5">
        <f>Table13[[#This Row],[CONSUMPTION Q=(O-N)*P]]+Table13[[#This Row],[IMPORTED ENERGY]]-Table13[[#This Row],[EXPORTED ENERGY]]</f>
        <v>525400</v>
      </c>
      <c r="W31" s="5">
        <v>139</v>
      </c>
      <c r="X31" s="5">
        <v>483403.37</v>
      </c>
      <c r="Y31" s="5">
        <v>483542.37</v>
      </c>
      <c r="Z31" s="11">
        <f>(Table13[[#This Row],[NET CONSUMPTION T=Q+R-S]]-Table13[[#This Row],[TOTAL SALES W=U+V]])/Table13[[#This Row],[NET CONSUMPTION T=Q+R-S]]*100</f>
        <v>7.9668119527978698</v>
      </c>
      <c r="AA31">
        <v>7.97</v>
      </c>
      <c r="AB31">
        <v>2838987.48</v>
      </c>
      <c r="AC31">
        <v>2847982.48</v>
      </c>
      <c r="AD31">
        <v>0.92030000000000001</v>
      </c>
      <c r="AE31">
        <v>1.0032000000000001</v>
      </c>
      <c r="AF31">
        <v>8</v>
      </c>
    </row>
    <row r="32" spans="1:32" x14ac:dyDescent="0.25">
      <c r="A32">
        <v>17</v>
      </c>
      <c r="B32" t="s">
        <v>73</v>
      </c>
      <c r="C32" t="s">
        <v>74</v>
      </c>
      <c r="D32" t="s">
        <v>8</v>
      </c>
      <c r="E32" t="s">
        <v>88</v>
      </c>
      <c r="F32" t="s">
        <v>8</v>
      </c>
      <c r="H32" t="s">
        <v>112</v>
      </c>
      <c r="I32" t="s">
        <v>82</v>
      </c>
      <c r="J32" t="s">
        <v>113</v>
      </c>
      <c r="K32">
        <v>1571</v>
      </c>
      <c r="L32">
        <v>1571</v>
      </c>
      <c r="M32">
        <v>0</v>
      </c>
      <c r="N32">
        <v>0</v>
      </c>
      <c r="O32">
        <v>0</v>
      </c>
      <c r="P32">
        <v>5354.9</v>
      </c>
      <c r="Q32">
        <v>5440.2</v>
      </c>
      <c r="R32">
        <v>2000</v>
      </c>
      <c r="S32">
        <v>170600</v>
      </c>
      <c r="U32" s="9">
        <v>16000</v>
      </c>
      <c r="V32" s="5">
        <f>Table13[[#This Row],[CONSUMPTION Q=(O-N)*P]]+Table13[[#This Row],[IMPORTED ENERGY]]-Table13[[#This Row],[EXPORTED ENERGY]]</f>
        <v>154600</v>
      </c>
      <c r="W32" s="5">
        <v>140578.1</v>
      </c>
      <c r="X32" s="5">
        <v>0</v>
      </c>
      <c r="Y32" s="5">
        <v>140578.1</v>
      </c>
      <c r="Z32" s="11">
        <f>(Table13[[#This Row],[NET CONSUMPTION T=Q+R-S]]-Table13[[#This Row],[TOTAL SALES W=U+V]])/Table13[[#This Row],[NET CONSUMPTION T=Q+R-S]]*100</f>
        <v>9.0697930142302674</v>
      </c>
      <c r="AA32">
        <v>9.07</v>
      </c>
      <c r="AB32">
        <v>1341853.69</v>
      </c>
      <c r="AC32">
        <v>1001944.63</v>
      </c>
      <c r="AD32">
        <v>0.9093</v>
      </c>
      <c r="AE32">
        <v>0.74670000000000003</v>
      </c>
      <c r="AF32">
        <v>6.77</v>
      </c>
    </row>
    <row r="33" spans="1:32" x14ac:dyDescent="0.25">
      <c r="A33">
        <v>18</v>
      </c>
      <c r="B33" t="s">
        <v>73</v>
      </c>
      <c r="C33" t="s">
        <v>74</v>
      </c>
      <c r="D33" t="s">
        <v>8</v>
      </c>
      <c r="E33" t="s">
        <v>88</v>
      </c>
      <c r="F33" t="s">
        <v>8</v>
      </c>
      <c r="H33" t="s">
        <v>114</v>
      </c>
      <c r="I33" t="s">
        <v>77</v>
      </c>
      <c r="J33" t="s">
        <v>115</v>
      </c>
      <c r="K33">
        <v>318</v>
      </c>
      <c r="L33">
        <v>318</v>
      </c>
      <c r="M33">
        <v>0</v>
      </c>
      <c r="N33">
        <v>313</v>
      </c>
      <c r="O33">
        <v>0</v>
      </c>
      <c r="P33">
        <v>1051.4000000000001</v>
      </c>
      <c r="Q33">
        <v>1160.5</v>
      </c>
      <c r="R33">
        <v>2000</v>
      </c>
      <c r="S33">
        <v>218200</v>
      </c>
      <c r="T33" s="9">
        <v>53000</v>
      </c>
      <c r="U33" s="9">
        <v>0</v>
      </c>
      <c r="V33" s="5">
        <f>Table13[[#This Row],[CONSUMPTION Q=(O-N)*P]]+Table13[[#This Row],[IMPORTED ENERGY]]-Table13[[#This Row],[EXPORTED ENERGY]]</f>
        <v>271200</v>
      </c>
      <c r="W33" s="5">
        <v>169</v>
      </c>
      <c r="X33" s="5">
        <v>264573.00300000003</v>
      </c>
      <c r="Y33" s="5">
        <v>264742.00300000003</v>
      </c>
      <c r="Z33" s="11">
        <f>(Table13[[#This Row],[NET CONSUMPTION T=Q+R-S]]-Table13[[#This Row],[TOTAL SALES W=U+V]])/Table13[[#This Row],[NET CONSUMPTION T=Q+R-S]]*100</f>
        <v>2.3812673303834715</v>
      </c>
      <c r="AA33">
        <v>9.09</v>
      </c>
      <c r="AB33">
        <v>1555521.86</v>
      </c>
      <c r="AC33">
        <v>1555035.86</v>
      </c>
      <c r="AD33">
        <v>0.90910000000000002</v>
      </c>
      <c r="AE33">
        <v>0.99970000000000003</v>
      </c>
      <c r="AF33">
        <v>9.09</v>
      </c>
    </row>
    <row r="34" spans="1:32" x14ac:dyDescent="0.25">
      <c r="A34">
        <v>19</v>
      </c>
      <c r="B34" t="s">
        <v>73</v>
      </c>
      <c r="C34" t="s">
        <v>74</v>
      </c>
      <c r="D34" t="s">
        <v>8</v>
      </c>
      <c r="E34" t="s">
        <v>88</v>
      </c>
      <c r="F34" t="s">
        <v>8</v>
      </c>
      <c r="H34" t="s">
        <v>116</v>
      </c>
      <c r="I34" t="s">
        <v>82</v>
      </c>
      <c r="J34" t="s">
        <v>117</v>
      </c>
      <c r="K34">
        <v>1838</v>
      </c>
      <c r="L34">
        <v>1838</v>
      </c>
      <c r="M34">
        <v>0</v>
      </c>
      <c r="N34">
        <v>0</v>
      </c>
      <c r="O34">
        <v>0</v>
      </c>
      <c r="P34">
        <v>11288.7</v>
      </c>
      <c r="Q34">
        <v>11506.1</v>
      </c>
      <c r="R34">
        <v>1000</v>
      </c>
      <c r="S34">
        <v>217400</v>
      </c>
      <c r="T34" s="9">
        <v>0</v>
      </c>
      <c r="U34" s="9">
        <v>75000</v>
      </c>
      <c r="V34" s="5">
        <f>Table13[[#This Row],[CONSUMPTION Q=(O-N)*P]]+Table13[[#This Row],[IMPORTED ENERGY]]-Table13[[#This Row],[EXPORTED ENERGY]]</f>
        <v>142400</v>
      </c>
      <c r="W34" s="5">
        <v>129806.23</v>
      </c>
      <c r="X34" s="5">
        <v>0</v>
      </c>
      <c r="Y34" s="5">
        <v>129806.23</v>
      </c>
      <c r="Z34" s="11">
        <f>(Table13[[#This Row],[NET CONSUMPTION T=Q+R-S]]-Table13[[#This Row],[TOTAL SALES W=U+V]])/Table13[[#This Row],[NET CONSUMPTION T=Q+R-S]]*100</f>
        <v>8.843939606741575</v>
      </c>
      <c r="AA34">
        <v>10.11</v>
      </c>
      <c r="AB34">
        <v>1379957.91</v>
      </c>
      <c r="AC34">
        <v>1114580.1499999999</v>
      </c>
      <c r="AD34">
        <v>0.89890000000000003</v>
      </c>
      <c r="AE34">
        <v>0.80769999999999997</v>
      </c>
      <c r="AF34">
        <v>8.17</v>
      </c>
    </row>
    <row r="35" spans="1:32" x14ac:dyDescent="0.25">
      <c r="S35">
        <f>Table13[[#This Row],[IMPORTED ENERGY]]-Table13[[#This Row],[EXPORTED ENERGY]]</f>
        <v>-292000</v>
      </c>
      <c r="T35" s="9">
        <f>SUBTOTAL(109,T9:T34)</f>
        <v>1383000</v>
      </c>
      <c r="U35" s="9">
        <f>SUBTOTAL(109,U9:U34)</f>
        <v>1675000</v>
      </c>
      <c r="V35" s="5">
        <f>Table13[[#This Row],[CONSUMPTION Q=(O-N)*P]]+Table13[[#This Row],[IMPORTED ENERGY]]-Table13[[#This Row],[EXPORTED ENERGY]]</f>
        <v>-584000</v>
      </c>
      <c r="Z35" s="11">
        <f>(Table13[[#This Row],[NET CONSUMPTION T=Q+R-S]]-Table13[[#This Row],[TOTAL SALES W=U+V]])/Table13[[#This Row],[NET CONSUMPTION T=Q+R-S]]*100</f>
        <v>100</v>
      </c>
    </row>
    <row r="36" spans="1:32" x14ac:dyDescent="0.25">
      <c r="A36">
        <v>43</v>
      </c>
      <c r="B36" t="s">
        <v>73</v>
      </c>
      <c r="C36" t="s">
        <v>74</v>
      </c>
      <c r="D36" t="s">
        <v>8</v>
      </c>
      <c r="E36" t="s">
        <v>167</v>
      </c>
      <c r="F36" t="s">
        <v>8</v>
      </c>
      <c r="H36" t="s">
        <v>168</v>
      </c>
      <c r="I36" t="s">
        <v>77</v>
      </c>
      <c r="J36" t="s">
        <v>169</v>
      </c>
      <c r="K36">
        <v>339</v>
      </c>
      <c r="L36">
        <v>339</v>
      </c>
      <c r="M36">
        <v>0</v>
      </c>
      <c r="N36">
        <v>334</v>
      </c>
      <c r="O36">
        <v>0</v>
      </c>
      <c r="P36">
        <v>9094.5</v>
      </c>
      <c r="Q36">
        <v>9269.7999999999993</v>
      </c>
      <c r="R36">
        <v>2000</v>
      </c>
      <c r="S36">
        <v>350600</v>
      </c>
      <c r="T36" s="9">
        <v>354000</v>
      </c>
      <c r="U36" s="9">
        <v>0</v>
      </c>
      <c r="V36" s="5">
        <f>Table13[[#This Row],[CONSUMPTION Q=(O-N)*P]]+Table13[[#This Row],[IMPORTED ENERGY]]-Table13[[#This Row],[EXPORTED ENERGY]]</f>
        <v>704600</v>
      </c>
      <c r="W36" s="5">
        <v>1611</v>
      </c>
      <c r="X36" s="5">
        <v>641482.74</v>
      </c>
      <c r="Y36" s="5">
        <v>643093.74</v>
      </c>
      <c r="Z36" s="11">
        <f>(Table13[[#This Row],[NET CONSUMPTION T=Q+R-S]]-Table13[[#This Row],[TOTAL SALES W=U+V]])/Table13[[#This Row],[NET CONSUMPTION T=Q+R-S]]*100</f>
        <v>8.7292449616803882</v>
      </c>
      <c r="AA36">
        <v>9.5</v>
      </c>
      <c r="AB36">
        <v>3789052.69</v>
      </c>
      <c r="AC36">
        <v>3792687.69</v>
      </c>
      <c r="AD36">
        <v>0.90500000000000003</v>
      </c>
      <c r="AE36">
        <v>1.0009999999999999</v>
      </c>
      <c r="AF36">
        <v>9.51</v>
      </c>
    </row>
    <row r="37" spans="1:32" x14ac:dyDescent="0.25">
      <c r="A37">
        <v>44</v>
      </c>
      <c r="B37" t="s">
        <v>73</v>
      </c>
      <c r="C37" t="s">
        <v>74</v>
      </c>
      <c r="D37" t="s">
        <v>8</v>
      </c>
      <c r="E37" t="s">
        <v>167</v>
      </c>
      <c r="F37" t="s">
        <v>8</v>
      </c>
      <c r="H37" t="s">
        <v>170</v>
      </c>
      <c r="I37" t="s">
        <v>77</v>
      </c>
      <c r="J37" t="s">
        <v>171</v>
      </c>
      <c r="K37">
        <v>264</v>
      </c>
      <c r="L37">
        <v>264</v>
      </c>
      <c r="M37">
        <v>0</v>
      </c>
      <c r="N37">
        <v>248</v>
      </c>
      <c r="O37">
        <v>0</v>
      </c>
      <c r="P37">
        <v>7794</v>
      </c>
      <c r="Q37">
        <v>8022.2</v>
      </c>
      <c r="R37">
        <v>2000</v>
      </c>
      <c r="S37">
        <v>456400</v>
      </c>
      <c r="T37" s="9">
        <v>90000</v>
      </c>
      <c r="U37" s="9">
        <v>0</v>
      </c>
      <c r="V37" s="5">
        <f>Table13[[#This Row],[CONSUMPTION Q=(O-N)*P]]+Table13[[#This Row],[IMPORTED ENERGY]]-Table13[[#This Row],[EXPORTED ENERGY]]</f>
        <v>546400</v>
      </c>
      <c r="W37" s="5">
        <v>341</v>
      </c>
      <c r="X37" s="5">
        <v>475957.99</v>
      </c>
      <c r="Y37" s="5">
        <v>476298.99</v>
      </c>
      <c r="Z37" s="11">
        <f>(Table13[[#This Row],[NET CONSUMPTION T=Q+R-S]]-Table13[[#This Row],[TOTAL SALES W=U+V]])/Table13[[#This Row],[NET CONSUMPTION T=Q+R-S]]*100</f>
        <v>12.82961383601757</v>
      </c>
      <c r="AA37">
        <v>12.83</v>
      </c>
      <c r="AB37">
        <v>2798118.05</v>
      </c>
      <c r="AC37">
        <v>2797971.05</v>
      </c>
      <c r="AD37">
        <v>0.87170000000000003</v>
      </c>
      <c r="AE37">
        <v>0.99990000000000001</v>
      </c>
      <c r="AF37">
        <v>12.83</v>
      </c>
    </row>
    <row r="38" spans="1:32" x14ac:dyDescent="0.25">
      <c r="A38">
        <v>45</v>
      </c>
      <c r="B38" t="s">
        <v>73</v>
      </c>
      <c r="C38" t="s">
        <v>74</v>
      </c>
      <c r="D38" t="s">
        <v>8</v>
      </c>
      <c r="E38" t="s">
        <v>167</v>
      </c>
      <c r="F38" t="s">
        <v>8</v>
      </c>
      <c r="H38" t="s">
        <v>172</v>
      </c>
      <c r="I38" t="s">
        <v>82</v>
      </c>
      <c r="J38" t="s">
        <v>173</v>
      </c>
      <c r="K38">
        <v>493</v>
      </c>
      <c r="L38">
        <v>493</v>
      </c>
      <c r="M38">
        <v>0</v>
      </c>
      <c r="N38">
        <v>2</v>
      </c>
      <c r="O38">
        <v>0</v>
      </c>
      <c r="P38">
        <v>25531.3</v>
      </c>
      <c r="Q38">
        <v>25790.799999999999</v>
      </c>
      <c r="R38">
        <v>250</v>
      </c>
      <c r="S38">
        <v>64875</v>
      </c>
      <c r="T38" s="9">
        <v>0</v>
      </c>
      <c r="U38" s="9">
        <v>0</v>
      </c>
      <c r="V38" s="5">
        <f>Table13[[#This Row],[CONSUMPTION Q=(O-N)*P]]+Table13[[#This Row],[IMPORTED ENERGY]]-Table13[[#This Row],[EXPORTED ENERGY]]</f>
        <v>64875</v>
      </c>
      <c r="W38" s="5">
        <v>22589</v>
      </c>
      <c r="X38" s="5">
        <v>3911.25</v>
      </c>
      <c r="Y38" s="5">
        <v>26500.25</v>
      </c>
      <c r="Z38" s="11">
        <f>(Table13[[#This Row],[NET CONSUMPTION T=Q+R-S]]-Table13[[#This Row],[TOTAL SALES W=U+V]])/Table13[[#This Row],[NET CONSUMPTION T=Q+R-S]]*100</f>
        <v>59.151830443159923</v>
      </c>
      <c r="AA38">
        <v>59.15</v>
      </c>
      <c r="AB38">
        <v>290839.87</v>
      </c>
      <c r="AC38">
        <v>218753.87</v>
      </c>
      <c r="AD38">
        <v>0.40849999999999997</v>
      </c>
      <c r="AE38">
        <v>0.75209999999999999</v>
      </c>
      <c r="AF38">
        <v>44.49</v>
      </c>
    </row>
    <row r="39" spans="1:32" x14ac:dyDescent="0.25">
      <c r="A39">
        <v>46</v>
      </c>
      <c r="B39" t="s">
        <v>73</v>
      </c>
      <c r="C39" t="s">
        <v>74</v>
      </c>
      <c r="D39" t="s">
        <v>8</v>
      </c>
      <c r="E39" t="s">
        <v>167</v>
      </c>
      <c r="F39" t="s">
        <v>8</v>
      </c>
      <c r="H39" t="s">
        <v>174</v>
      </c>
      <c r="I39" t="s">
        <v>82</v>
      </c>
      <c r="J39" t="s">
        <v>175</v>
      </c>
      <c r="K39">
        <v>1932</v>
      </c>
      <c r="L39">
        <v>1932</v>
      </c>
      <c r="M39">
        <v>0</v>
      </c>
      <c r="N39">
        <v>0</v>
      </c>
      <c r="O39">
        <v>0</v>
      </c>
      <c r="P39">
        <v>16803.3</v>
      </c>
      <c r="Q39">
        <v>17119.8</v>
      </c>
      <c r="R39">
        <v>1000</v>
      </c>
      <c r="S39">
        <v>316500</v>
      </c>
      <c r="T39" s="9">
        <v>0</v>
      </c>
      <c r="U39" s="9">
        <v>212000</v>
      </c>
      <c r="V39" s="5">
        <f>Table13[[#This Row],[CONSUMPTION Q=(O-N)*P]]+Table13[[#This Row],[IMPORTED ENERGY]]-Table13[[#This Row],[EXPORTED ENERGY]]</f>
        <v>104500</v>
      </c>
      <c r="W39" s="5">
        <v>96031</v>
      </c>
      <c r="X39" s="5">
        <v>0</v>
      </c>
      <c r="Y39" s="5">
        <v>96031</v>
      </c>
      <c r="Z39" s="11">
        <f>(Table13[[#This Row],[NET CONSUMPTION T=Q+R-S]]-Table13[[#This Row],[TOTAL SALES W=U+V]])/Table13[[#This Row],[NET CONSUMPTION T=Q+R-S]]*100</f>
        <v>8.1043062200956939</v>
      </c>
      <c r="AA39">
        <v>4.45</v>
      </c>
      <c r="AB39">
        <v>1141340.33</v>
      </c>
      <c r="AC39">
        <v>920397.26</v>
      </c>
      <c r="AD39">
        <v>0.95550000000000002</v>
      </c>
      <c r="AE39">
        <v>0.80640000000000001</v>
      </c>
      <c r="AF39">
        <v>3.59</v>
      </c>
    </row>
    <row r="40" spans="1:32" x14ac:dyDescent="0.25">
      <c r="A40">
        <v>47</v>
      </c>
      <c r="B40" t="s">
        <v>73</v>
      </c>
      <c r="C40" t="s">
        <v>74</v>
      </c>
      <c r="D40" t="s">
        <v>8</v>
      </c>
      <c r="E40" t="s">
        <v>167</v>
      </c>
      <c r="F40" t="s">
        <v>8</v>
      </c>
      <c r="H40" t="s">
        <v>176</v>
      </c>
      <c r="I40" t="s">
        <v>77</v>
      </c>
      <c r="J40" t="s">
        <v>177</v>
      </c>
      <c r="K40">
        <v>252</v>
      </c>
      <c r="L40">
        <v>252</v>
      </c>
      <c r="M40">
        <v>0</v>
      </c>
      <c r="N40">
        <v>246</v>
      </c>
      <c r="O40">
        <v>0</v>
      </c>
      <c r="P40">
        <v>273.3</v>
      </c>
      <c r="Q40">
        <v>576.4</v>
      </c>
      <c r="R40">
        <v>2000</v>
      </c>
      <c r="S40">
        <v>606200</v>
      </c>
      <c r="T40" s="9">
        <v>0</v>
      </c>
      <c r="U40" s="9">
        <v>70000</v>
      </c>
      <c r="V40" s="5">
        <f>Table13[[#This Row],[CONSUMPTION Q=(O-N)*P]]+Table13[[#This Row],[IMPORTED ENERGY]]-Table13[[#This Row],[EXPORTED ENERGY]]</f>
        <v>536200</v>
      </c>
      <c r="W40" s="5">
        <v>872</v>
      </c>
      <c r="X40" s="5">
        <v>484389.71600000001</v>
      </c>
      <c r="Y40" s="5">
        <v>485261.71600000001</v>
      </c>
      <c r="Z40" s="11">
        <f>(Table13[[#This Row],[NET CONSUMPTION T=Q+R-S]]-Table13[[#This Row],[TOTAL SALES W=U+V]])/Table13[[#This Row],[NET CONSUMPTION T=Q+R-S]]*100</f>
        <v>9.4998664677359166</v>
      </c>
      <c r="AA40">
        <v>9.5</v>
      </c>
      <c r="AB40">
        <v>2851923.68</v>
      </c>
      <c r="AC40">
        <v>2845876.68</v>
      </c>
      <c r="AD40">
        <v>0.90500000000000003</v>
      </c>
      <c r="AE40">
        <v>0.99790000000000001</v>
      </c>
      <c r="AF40">
        <v>9.48</v>
      </c>
    </row>
    <row r="41" spans="1:32" x14ac:dyDescent="0.25">
      <c r="A41">
        <v>48</v>
      </c>
      <c r="B41" t="s">
        <v>73</v>
      </c>
      <c r="C41" t="s">
        <v>74</v>
      </c>
      <c r="D41" t="s">
        <v>8</v>
      </c>
      <c r="E41" t="s">
        <v>167</v>
      </c>
      <c r="F41" t="s">
        <v>8</v>
      </c>
      <c r="H41" t="s">
        <v>178</v>
      </c>
      <c r="I41" t="s">
        <v>77</v>
      </c>
      <c r="J41" t="s">
        <v>179</v>
      </c>
      <c r="K41">
        <v>295</v>
      </c>
      <c r="L41">
        <v>295</v>
      </c>
      <c r="M41">
        <v>0</v>
      </c>
      <c r="N41">
        <v>295</v>
      </c>
      <c r="O41">
        <v>0</v>
      </c>
      <c r="P41">
        <v>3048.4</v>
      </c>
      <c r="Q41">
        <v>3242.6</v>
      </c>
      <c r="R41">
        <v>2000</v>
      </c>
      <c r="S41">
        <v>388400</v>
      </c>
      <c r="T41" s="9">
        <v>281000</v>
      </c>
      <c r="U41" s="9">
        <v>0</v>
      </c>
      <c r="V41" s="5">
        <f>Table13[[#This Row],[CONSUMPTION Q=(O-N)*P]]+Table13[[#This Row],[IMPORTED ENERGY]]-Table13[[#This Row],[EXPORTED ENERGY]]</f>
        <v>669400</v>
      </c>
      <c r="W41" s="5">
        <v>0</v>
      </c>
      <c r="X41" s="5">
        <v>567498.80000000005</v>
      </c>
      <c r="Y41" s="5">
        <v>567498.80000000005</v>
      </c>
      <c r="Z41" s="11">
        <f>(Table13[[#This Row],[NET CONSUMPTION T=Q+R-S]]-Table13[[#This Row],[TOTAL SALES W=U+V]])/Table13[[#This Row],[NET CONSUMPTION T=Q+R-S]]*100</f>
        <v>15.222766656707492</v>
      </c>
      <c r="AA41">
        <v>18.86</v>
      </c>
      <c r="AB41">
        <v>3331217.94</v>
      </c>
      <c r="AC41">
        <v>3331217.94</v>
      </c>
      <c r="AD41">
        <v>0.81140000000000001</v>
      </c>
      <c r="AE41">
        <v>1</v>
      </c>
      <c r="AF41">
        <v>18.86</v>
      </c>
    </row>
    <row r="42" spans="1:32" x14ac:dyDescent="0.25">
      <c r="A42">
        <v>49</v>
      </c>
      <c r="B42" t="s">
        <v>73</v>
      </c>
      <c r="C42" t="s">
        <v>74</v>
      </c>
      <c r="D42" t="s">
        <v>8</v>
      </c>
      <c r="E42" t="s">
        <v>167</v>
      </c>
      <c r="F42" t="s">
        <v>8</v>
      </c>
      <c r="H42" t="s">
        <v>180</v>
      </c>
      <c r="I42" t="s">
        <v>77</v>
      </c>
      <c r="J42" t="s">
        <v>181</v>
      </c>
      <c r="K42">
        <v>113</v>
      </c>
      <c r="L42">
        <v>113</v>
      </c>
      <c r="M42">
        <v>0</v>
      </c>
      <c r="N42">
        <v>112</v>
      </c>
      <c r="O42">
        <v>0</v>
      </c>
      <c r="P42">
        <v>364.3</v>
      </c>
      <c r="Q42">
        <v>593.20000000000005</v>
      </c>
      <c r="R42">
        <v>2000</v>
      </c>
      <c r="S42">
        <v>457800</v>
      </c>
      <c r="T42" s="9">
        <v>0</v>
      </c>
      <c r="U42" s="9">
        <v>215000</v>
      </c>
      <c r="V42" s="5">
        <f>Table13[[#This Row],[CONSUMPTION Q=(O-N)*P]]+Table13[[#This Row],[IMPORTED ENERGY]]-Table13[[#This Row],[EXPORTED ENERGY]]</f>
        <v>242800</v>
      </c>
      <c r="W42" s="5">
        <v>38</v>
      </c>
      <c r="X42" s="5">
        <v>219146.76199999999</v>
      </c>
      <c r="Y42" s="5">
        <v>219184.76199999999</v>
      </c>
      <c r="Z42" s="11">
        <f>(Table13[[#This Row],[NET CONSUMPTION T=Q+R-S]]-Table13[[#This Row],[TOTAL SALES W=U+V]])/Table13[[#This Row],[NET CONSUMPTION T=Q+R-S]]*100</f>
        <v>9.7262100494233987</v>
      </c>
      <c r="AA42">
        <v>9.73</v>
      </c>
      <c r="AB42">
        <v>1286767.2</v>
      </c>
      <c r="AC42">
        <v>1286764.2</v>
      </c>
      <c r="AD42">
        <v>0.90269999999999995</v>
      </c>
      <c r="AE42">
        <v>1</v>
      </c>
      <c r="AF42">
        <v>9.73</v>
      </c>
    </row>
    <row r="43" spans="1:32" x14ac:dyDescent="0.25">
      <c r="A43">
        <v>50</v>
      </c>
      <c r="B43" t="s">
        <v>73</v>
      </c>
      <c r="C43" t="s">
        <v>74</v>
      </c>
      <c r="D43" t="s">
        <v>8</v>
      </c>
      <c r="E43" t="s">
        <v>167</v>
      </c>
      <c r="F43" t="s">
        <v>8</v>
      </c>
      <c r="H43" t="s">
        <v>182</v>
      </c>
      <c r="I43" t="s">
        <v>77</v>
      </c>
      <c r="J43" t="s">
        <v>183</v>
      </c>
      <c r="K43">
        <v>113</v>
      </c>
      <c r="L43">
        <v>113</v>
      </c>
      <c r="M43">
        <v>0</v>
      </c>
      <c r="N43">
        <v>113</v>
      </c>
      <c r="O43">
        <v>0</v>
      </c>
      <c r="P43">
        <v>151.80000000000001</v>
      </c>
      <c r="Q43">
        <v>355.5</v>
      </c>
      <c r="R43">
        <v>2000</v>
      </c>
      <c r="S43">
        <v>407400</v>
      </c>
      <c r="T43" s="9">
        <v>0</v>
      </c>
      <c r="U43" s="9">
        <v>160000</v>
      </c>
      <c r="V43" s="5">
        <f>Table13[[#This Row],[CONSUMPTION Q=(O-N)*P]]+Table13[[#This Row],[IMPORTED ENERGY]]-Table13[[#This Row],[EXPORTED ENERGY]]</f>
        <v>247400</v>
      </c>
      <c r="W43" s="5">
        <v>0</v>
      </c>
      <c r="X43" s="5">
        <v>222000</v>
      </c>
      <c r="Y43" s="5">
        <v>222000</v>
      </c>
      <c r="Z43" s="11">
        <f>(Table13[[#This Row],[NET CONSUMPTION T=Q+R-S]]-Table13[[#This Row],[TOTAL SALES W=U+V]])/Table13[[#This Row],[NET CONSUMPTION T=Q+R-S]]*100</f>
        <v>10.266774454324979</v>
      </c>
      <c r="AA43">
        <v>10.27</v>
      </c>
      <c r="AB43">
        <v>1303140</v>
      </c>
      <c r="AC43">
        <v>1303140</v>
      </c>
      <c r="AD43">
        <v>0.89729999999999999</v>
      </c>
      <c r="AE43">
        <v>1</v>
      </c>
      <c r="AF43">
        <v>10.27</v>
      </c>
    </row>
    <row r="44" spans="1:32" x14ac:dyDescent="0.25">
      <c r="A44">
        <v>51</v>
      </c>
      <c r="B44" t="s">
        <v>73</v>
      </c>
      <c r="C44" t="s">
        <v>74</v>
      </c>
      <c r="D44" t="s">
        <v>8</v>
      </c>
      <c r="E44" t="s">
        <v>167</v>
      </c>
      <c r="F44" t="s">
        <v>8</v>
      </c>
      <c r="H44" t="s">
        <v>184</v>
      </c>
      <c r="I44" t="s">
        <v>77</v>
      </c>
      <c r="J44" t="s">
        <v>185</v>
      </c>
      <c r="K44">
        <v>81</v>
      </c>
      <c r="L44">
        <v>81</v>
      </c>
      <c r="M44">
        <v>0</v>
      </c>
      <c r="N44">
        <v>81</v>
      </c>
      <c r="O44">
        <v>0</v>
      </c>
      <c r="P44">
        <v>393.5</v>
      </c>
      <c r="Q44">
        <v>578.20000000000005</v>
      </c>
      <c r="R44">
        <v>2000</v>
      </c>
      <c r="S44">
        <v>369400</v>
      </c>
      <c r="T44" s="9">
        <v>0</v>
      </c>
      <c r="U44" s="9">
        <v>200000</v>
      </c>
      <c r="V44" s="5">
        <f>Table13[[#This Row],[CONSUMPTION Q=(O-N)*P]]+Table13[[#This Row],[IMPORTED ENERGY]]-Table13[[#This Row],[EXPORTED ENERGY]]</f>
        <v>169400</v>
      </c>
      <c r="W44" s="5">
        <v>0</v>
      </c>
      <c r="X44" s="5">
        <v>150600</v>
      </c>
      <c r="Y44" s="5">
        <v>150600</v>
      </c>
      <c r="Z44" s="11">
        <f>(Table13[[#This Row],[NET CONSUMPTION T=Q+R-S]]-Table13[[#This Row],[TOTAL SALES W=U+V]])/Table13[[#This Row],[NET CONSUMPTION T=Q+R-S]]*100</f>
        <v>11.097992916174734</v>
      </c>
      <c r="AA44">
        <v>11.1</v>
      </c>
      <c r="AB44">
        <v>884022</v>
      </c>
      <c r="AC44">
        <v>884022</v>
      </c>
      <c r="AD44">
        <v>0.88900000000000001</v>
      </c>
      <c r="AE44">
        <v>1</v>
      </c>
      <c r="AF44">
        <v>11.1</v>
      </c>
    </row>
    <row r="45" spans="1:32" x14ac:dyDescent="0.25">
      <c r="A45">
        <v>2</v>
      </c>
      <c r="B45" t="s">
        <v>73</v>
      </c>
      <c r="C45" t="s">
        <v>74</v>
      </c>
      <c r="D45" t="s">
        <v>8</v>
      </c>
      <c r="E45" t="s">
        <v>75</v>
      </c>
      <c r="F45" t="s">
        <v>8</v>
      </c>
      <c r="H45" t="s">
        <v>79</v>
      </c>
      <c r="I45" t="s">
        <v>77</v>
      </c>
      <c r="J45" t="s">
        <v>80</v>
      </c>
      <c r="K45">
        <v>330</v>
      </c>
      <c r="L45">
        <v>330</v>
      </c>
      <c r="M45">
        <v>0</v>
      </c>
      <c r="N45">
        <v>325</v>
      </c>
      <c r="O45">
        <v>0</v>
      </c>
      <c r="P45">
        <v>7825.7</v>
      </c>
      <c r="Q45">
        <v>8000.7</v>
      </c>
      <c r="R45">
        <v>2000</v>
      </c>
      <c r="S45">
        <v>350000</v>
      </c>
      <c r="T45" s="9">
        <v>298000</v>
      </c>
      <c r="U45" s="9">
        <v>0</v>
      </c>
      <c r="V45" s="5">
        <f>Table13[[#This Row],[CONSUMPTION Q=(O-N)*P]]+Table13[[#This Row],[IMPORTED ENERGY]]-Table13[[#This Row],[EXPORTED ENERGY]]</f>
        <v>648000</v>
      </c>
      <c r="W45" s="5">
        <v>368</v>
      </c>
      <c r="X45" s="5">
        <v>573907.02300000004</v>
      </c>
      <c r="Y45" s="5">
        <v>574275.02300000004</v>
      </c>
      <c r="Z45" s="11">
        <f>(Table13[[#This Row],[NET CONSUMPTION T=Q+R-S]]-Table13[[#This Row],[TOTAL SALES W=U+V]])/Table13[[#This Row],[NET CONSUMPTION T=Q+R-S]]*100</f>
        <v>11.377311265432091</v>
      </c>
      <c r="AA45">
        <v>9.42</v>
      </c>
      <c r="AB45">
        <v>3375994.83</v>
      </c>
      <c r="AC45">
        <v>3369493.83</v>
      </c>
      <c r="AD45">
        <v>0.90580000000000005</v>
      </c>
      <c r="AE45">
        <v>0.99809999999999999</v>
      </c>
      <c r="AF45">
        <v>9.4</v>
      </c>
    </row>
    <row r="46" spans="1:32" x14ac:dyDescent="0.25">
      <c r="A46">
        <v>3</v>
      </c>
      <c r="B46" t="s">
        <v>73</v>
      </c>
      <c r="C46" t="s">
        <v>74</v>
      </c>
      <c r="D46" t="s">
        <v>8</v>
      </c>
      <c r="E46" t="s">
        <v>75</v>
      </c>
      <c r="F46" t="s">
        <v>8</v>
      </c>
      <c r="H46" t="s">
        <v>81</v>
      </c>
      <c r="I46" t="s">
        <v>82</v>
      </c>
      <c r="J46" t="s">
        <v>83</v>
      </c>
      <c r="K46">
        <v>1176</v>
      </c>
      <c r="L46">
        <v>1176</v>
      </c>
      <c r="M46">
        <v>0</v>
      </c>
      <c r="N46">
        <v>0</v>
      </c>
      <c r="O46">
        <v>0</v>
      </c>
      <c r="P46">
        <v>8419.2999999999993</v>
      </c>
      <c r="Q46">
        <v>8573.6</v>
      </c>
      <c r="R46">
        <v>1000</v>
      </c>
      <c r="S46">
        <v>154300</v>
      </c>
      <c r="T46" s="9">
        <v>0</v>
      </c>
      <c r="U46" s="9">
        <v>28000</v>
      </c>
      <c r="V46" s="5">
        <f>Table13[[#This Row],[CONSUMPTION Q=(O-N)*P]]+Table13[[#This Row],[IMPORTED ENERGY]]-Table13[[#This Row],[EXPORTED ENERGY]]</f>
        <v>126300</v>
      </c>
      <c r="W46" s="5">
        <v>117323.47</v>
      </c>
      <c r="X46" s="5">
        <v>0</v>
      </c>
      <c r="Y46" s="5">
        <v>117323.47</v>
      </c>
      <c r="Z46" s="11">
        <f>(Table13[[#This Row],[NET CONSUMPTION T=Q+R-S]]-Table13[[#This Row],[TOTAL SALES W=U+V]])/Table13[[#This Row],[NET CONSUMPTION T=Q+R-S]]*100</f>
        <v>7.1073079968329358</v>
      </c>
      <c r="AA46">
        <v>2.4700000000000002</v>
      </c>
      <c r="AB46">
        <v>1357006.25</v>
      </c>
      <c r="AC46">
        <v>633328.23</v>
      </c>
      <c r="AD46">
        <v>0.97529999999999994</v>
      </c>
      <c r="AE46">
        <v>0.4667</v>
      </c>
      <c r="AF46">
        <v>1.1499999999999999</v>
      </c>
    </row>
    <row r="47" spans="1:32" x14ac:dyDescent="0.25">
      <c r="A47">
        <v>4</v>
      </c>
      <c r="B47" t="s">
        <v>73</v>
      </c>
      <c r="C47" t="s">
        <v>74</v>
      </c>
      <c r="D47" t="s">
        <v>8</v>
      </c>
      <c r="E47" t="s">
        <v>75</v>
      </c>
      <c r="F47" t="s">
        <v>8</v>
      </c>
      <c r="H47" t="s">
        <v>84</v>
      </c>
      <c r="I47" t="s">
        <v>77</v>
      </c>
      <c r="J47" t="s">
        <v>85</v>
      </c>
      <c r="K47">
        <v>225</v>
      </c>
      <c r="L47">
        <v>225</v>
      </c>
      <c r="M47">
        <v>0</v>
      </c>
      <c r="N47">
        <v>224</v>
      </c>
      <c r="O47">
        <v>0</v>
      </c>
      <c r="P47">
        <v>7805</v>
      </c>
      <c r="Q47">
        <v>8034.5</v>
      </c>
      <c r="R47">
        <v>2000</v>
      </c>
      <c r="S47">
        <v>459000</v>
      </c>
      <c r="T47" s="9">
        <v>0</v>
      </c>
      <c r="U47" s="9">
        <v>0</v>
      </c>
      <c r="V47" s="5">
        <f>Table13[[#This Row],[CONSUMPTION Q=(O-N)*P]]+Table13[[#This Row],[IMPORTED ENERGY]]-Table13[[#This Row],[EXPORTED ENERGY]]</f>
        <v>459000</v>
      </c>
      <c r="W47" s="5">
        <v>35</v>
      </c>
      <c r="X47" s="5">
        <v>406663.11200000002</v>
      </c>
      <c r="Y47" s="5">
        <v>406698.11200000002</v>
      </c>
      <c r="Z47" s="11">
        <f>(Table13[[#This Row],[NET CONSUMPTION T=Q+R-S]]-Table13[[#This Row],[TOTAL SALES W=U+V]])/Table13[[#This Row],[NET CONSUMPTION T=Q+R-S]]*100</f>
        <v>11.3947468409586</v>
      </c>
      <c r="AA47">
        <v>11.39</v>
      </c>
      <c r="AB47">
        <v>2387466.67</v>
      </c>
      <c r="AC47">
        <v>2387465.67</v>
      </c>
      <c r="AD47">
        <v>0.8861</v>
      </c>
      <c r="AE47">
        <v>1</v>
      </c>
      <c r="AF47">
        <v>11.39</v>
      </c>
    </row>
    <row r="48" spans="1:32" x14ac:dyDescent="0.25">
      <c r="A48">
        <v>5</v>
      </c>
      <c r="B48" t="s">
        <v>73</v>
      </c>
      <c r="C48" t="s">
        <v>74</v>
      </c>
      <c r="D48" t="s">
        <v>8</v>
      </c>
      <c r="E48" t="s">
        <v>75</v>
      </c>
      <c r="F48" t="s">
        <v>8</v>
      </c>
      <c r="H48" t="s">
        <v>86</v>
      </c>
      <c r="I48" t="s">
        <v>77</v>
      </c>
      <c r="J48" t="s">
        <v>87</v>
      </c>
      <c r="K48">
        <v>221</v>
      </c>
      <c r="L48">
        <v>221</v>
      </c>
      <c r="M48">
        <v>0</v>
      </c>
      <c r="N48">
        <v>220</v>
      </c>
      <c r="O48">
        <v>0</v>
      </c>
      <c r="P48">
        <v>6730.4</v>
      </c>
      <c r="Q48">
        <v>6943.6</v>
      </c>
      <c r="R48">
        <v>2000</v>
      </c>
      <c r="S48">
        <v>426400</v>
      </c>
      <c r="T48" s="9">
        <v>0</v>
      </c>
      <c r="U48" s="9">
        <v>0</v>
      </c>
      <c r="V48" s="5">
        <f>Table13[[#This Row],[CONSUMPTION Q=(O-N)*P]]+Table13[[#This Row],[IMPORTED ENERGY]]-Table13[[#This Row],[EXPORTED ENERGY]]</f>
        <v>426400</v>
      </c>
      <c r="W48" s="5">
        <v>1</v>
      </c>
      <c r="X48" s="5">
        <v>380344.21500000003</v>
      </c>
      <c r="Y48" s="5">
        <v>380345.21500000003</v>
      </c>
      <c r="Z48" s="11">
        <f>(Table13[[#This Row],[NET CONSUMPTION T=Q+R-S]]-Table13[[#This Row],[TOTAL SALES W=U+V]])/Table13[[#This Row],[NET CONSUMPTION T=Q+R-S]]*100</f>
        <v>10.800840759849899</v>
      </c>
      <c r="AA48">
        <v>10.8</v>
      </c>
      <c r="AB48">
        <v>2232755.38</v>
      </c>
      <c r="AC48">
        <v>2232750.38</v>
      </c>
      <c r="AD48">
        <v>0.89200000000000002</v>
      </c>
      <c r="AE48">
        <v>1</v>
      </c>
      <c r="AF48">
        <v>10.8</v>
      </c>
    </row>
    <row r="49" spans="1:32" x14ac:dyDescent="0.25">
      <c r="A49">
        <v>1</v>
      </c>
      <c r="B49" t="s">
        <v>73</v>
      </c>
      <c r="C49" t="s">
        <v>74</v>
      </c>
      <c r="D49" t="s">
        <v>8</v>
      </c>
      <c r="E49" t="s">
        <v>75</v>
      </c>
      <c r="F49" t="s">
        <v>8</v>
      </c>
      <c r="H49" t="s">
        <v>76</v>
      </c>
      <c r="I49" t="s">
        <v>77</v>
      </c>
      <c r="J49" t="s">
        <v>78</v>
      </c>
      <c r="K49">
        <v>80</v>
      </c>
      <c r="L49">
        <v>80</v>
      </c>
      <c r="M49">
        <v>0</v>
      </c>
      <c r="N49">
        <v>80</v>
      </c>
      <c r="O49">
        <v>0</v>
      </c>
      <c r="P49">
        <v>21.98</v>
      </c>
      <c r="Q49">
        <v>42.459000000000003</v>
      </c>
      <c r="R49">
        <v>20000</v>
      </c>
      <c r="S49">
        <v>409580</v>
      </c>
      <c r="T49" s="9">
        <v>0</v>
      </c>
      <c r="U49" s="9">
        <v>270000</v>
      </c>
      <c r="V49" s="5">
        <f>Table13[[#This Row],[CONSUMPTION Q=(O-N)*P]]+Table13[[#This Row],[IMPORTED ENERGY]]-Table13[[#This Row],[EXPORTED ENERGY]]</f>
        <v>139580</v>
      </c>
      <c r="W49" s="5">
        <v>0</v>
      </c>
      <c r="X49" s="5">
        <v>129477.586</v>
      </c>
      <c r="Y49" s="5">
        <v>129477.586</v>
      </c>
      <c r="Z49" s="11">
        <f>(Table13[[#This Row],[NET CONSUMPTION T=Q+R-S]]-Table13[[#This Row],[TOTAL SALES W=U+V]])/Table13[[#This Row],[NET CONSUMPTION T=Q+R-S]]*100</f>
        <v>7.237723169508528</v>
      </c>
      <c r="AA49">
        <v>18.86</v>
      </c>
      <c r="AB49">
        <v>760033.3</v>
      </c>
      <c r="AC49">
        <v>760033.3</v>
      </c>
      <c r="AD49">
        <v>0.81140000000000001</v>
      </c>
      <c r="AE49">
        <v>1</v>
      </c>
      <c r="AF49">
        <v>18.86</v>
      </c>
    </row>
    <row r="50" spans="1:32" x14ac:dyDescent="0.25">
      <c r="A50">
        <v>52</v>
      </c>
      <c r="B50" t="s">
        <v>73</v>
      </c>
      <c r="C50" t="s">
        <v>74</v>
      </c>
      <c r="D50" t="s">
        <v>186</v>
      </c>
      <c r="E50" t="s">
        <v>187</v>
      </c>
      <c r="F50" t="s">
        <v>186</v>
      </c>
      <c r="H50" t="s">
        <v>188</v>
      </c>
      <c r="I50" t="s">
        <v>104</v>
      </c>
      <c r="J50" t="s">
        <v>189</v>
      </c>
      <c r="K50">
        <v>1818</v>
      </c>
      <c r="L50">
        <v>1818</v>
      </c>
      <c r="M50">
        <v>0</v>
      </c>
      <c r="N50">
        <v>137</v>
      </c>
      <c r="O50">
        <v>0</v>
      </c>
      <c r="P50">
        <v>36.414000000000001</v>
      </c>
      <c r="Q50">
        <v>84.11</v>
      </c>
      <c r="R50">
        <v>10000</v>
      </c>
      <c r="S50">
        <v>476960</v>
      </c>
      <c r="T50" s="9">
        <v>0</v>
      </c>
      <c r="U50" s="9">
        <v>350000</v>
      </c>
      <c r="V50" s="5">
        <f>Table13[[#This Row],[CONSUMPTION Q=(O-N)*P]]+Table13[[#This Row],[IMPORTED ENERGY]]-Table13[[#This Row],[EXPORTED ENERGY]]</f>
        <v>126960</v>
      </c>
      <c r="W50" s="5">
        <v>110499.6</v>
      </c>
      <c r="X50" s="5">
        <v>5904.018</v>
      </c>
      <c r="Y50" s="5">
        <v>116403.618</v>
      </c>
      <c r="Z50" s="11">
        <f>(Table13[[#This Row],[NET CONSUMPTION T=Q+R-S]]-Table13[[#This Row],[TOTAL SALES W=U+V]])/Table13[[#This Row],[NET CONSUMPTION T=Q+R-S]]*100</f>
        <v>8.3147306238185248</v>
      </c>
      <c r="AA50">
        <v>75.59</v>
      </c>
      <c r="AB50">
        <v>1255808.0900000001</v>
      </c>
      <c r="AC50">
        <v>1034463.61</v>
      </c>
      <c r="AD50">
        <v>0.24410000000000001</v>
      </c>
      <c r="AE50">
        <v>0.82369999999999999</v>
      </c>
      <c r="AF50">
        <v>62.26</v>
      </c>
    </row>
    <row r="51" spans="1:32" x14ac:dyDescent="0.25">
      <c r="T51" s="9">
        <f>SUBTOTAL(109,Table13[IMPORTED ENERGY])</f>
        <v>2406000</v>
      </c>
      <c r="U51" s="9">
        <f>SUBTOTAL(109,Table13[EXPORTED ENERGY])</f>
        <v>3180000</v>
      </c>
      <c r="Z51" s="11"/>
    </row>
  </sheetData>
  <mergeCells count="3">
    <mergeCell ref="A1:AG1"/>
    <mergeCell ref="A2:AG2"/>
    <mergeCell ref="A3:AG3"/>
  </mergeCells>
  <pageMargins left="0.75" right="0.75" top="0.75" bottom="0.5" header="0.5" footer="0.75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CFC767-0453-4193-BFE2-E4B26019A38D}">
  <dimension ref="A1:AH24"/>
  <sheetViews>
    <sheetView topLeftCell="E1" workbookViewId="0">
      <selection activeCell="X27" sqref="X27"/>
    </sheetView>
  </sheetViews>
  <sheetFormatPr defaultRowHeight="15" x14ac:dyDescent="0.25"/>
  <cols>
    <col min="1" max="1" width="9.140625" customWidth="1"/>
    <col min="2" max="3" width="20.7109375" customWidth="1"/>
    <col min="4" max="4" width="16.28515625" customWidth="1"/>
    <col min="5" max="5" width="22.7109375" customWidth="1"/>
    <col min="6" max="6" width="18.28515625" hidden="1" customWidth="1"/>
    <col min="7" max="7" width="16.7109375" hidden="1" customWidth="1"/>
    <col min="8" max="8" width="28" customWidth="1"/>
    <col min="9" max="9" width="15.5703125" customWidth="1"/>
    <col min="10" max="10" width="18.5703125" customWidth="1"/>
    <col min="11" max="11" width="6.5703125" hidden="1" customWidth="1"/>
    <col min="12" max="12" width="20" hidden="1" customWidth="1"/>
    <col min="13" max="13" width="21.85546875" hidden="1" customWidth="1"/>
    <col min="14" max="14" width="22.42578125" hidden="1" customWidth="1"/>
    <col min="15" max="15" width="15.7109375" hidden="1" customWidth="1"/>
    <col min="16" max="16" width="9.140625" customWidth="1"/>
    <col min="17" max="17" width="12" customWidth="1"/>
    <col min="18" max="18" width="7.42578125" customWidth="1"/>
    <col min="19" max="19" width="13.5703125" customWidth="1"/>
    <col min="20" max="20" width="10.42578125" style="9" customWidth="1"/>
    <col min="21" max="21" width="13.140625" style="9" customWidth="1"/>
    <col min="22" max="22" width="16.5703125" style="5" customWidth="1"/>
    <col min="23" max="23" width="8.85546875" style="5" customWidth="1"/>
    <col min="24" max="24" width="11" style="5" customWidth="1"/>
    <col min="25" max="25" width="12.42578125" style="5" customWidth="1"/>
    <col min="26" max="26" width="11.7109375" style="9" customWidth="1"/>
    <col min="27" max="27" width="13.140625" customWidth="1"/>
    <col min="28" max="28" width="14" customWidth="1"/>
    <col min="29" max="29" width="15.28515625" customWidth="1"/>
    <col min="30" max="30" width="29" customWidth="1"/>
    <col min="31" max="31" width="32" customWidth="1"/>
    <col min="32" max="32" width="34.85546875" customWidth="1"/>
    <col min="33" max="33" width="12.85546875" customWidth="1"/>
    <col min="34" max="34" width="11.140625" customWidth="1"/>
  </cols>
  <sheetData>
    <row r="1" spans="1:34" ht="18.75" x14ac:dyDescent="0.3">
      <c r="A1" s="20" t="s">
        <v>0</v>
      </c>
      <c r="B1" s="20" t="s">
        <v>0</v>
      </c>
      <c r="C1" s="20" t="s">
        <v>0</v>
      </c>
      <c r="D1" s="20" t="s">
        <v>0</v>
      </c>
      <c r="E1" s="20" t="s">
        <v>0</v>
      </c>
      <c r="F1" s="20" t="s">
        <v>0</v>
      </c>
      <c r="G1" s="20" t="s">
        <v>0</v>
      </c>
      <c r="H1" s="20" t="s">
        <v>0</v>
      </c>
      <c r="I1" s="20" t="s">
        <v>0</v>
      </c>
      <c r="J1" s="20" t="s">
        <v>0</v>
      </c>
      <c r="K1" s="20" t="s">
        <v>0</v>
      </c>
      <c r="L1" s="20" t="s">
        <v>0</v>
      </c>
      <c r="M1" s="20" t="s">
        <v>0</v>
      </c>
      <c r="N1" s="20" t="s">
        <v>0</v>
      </c>
      <c r="O1" s="20" t="s">
        <v>0</v>
      </c>
      <c r="P1" s="20" t="s">
        <v>0</v>
      </c>
      <c r="Q1" s="20" t="s">
        <v>0</v>
      </c>
      <c r="R1" s="20" t="s">
        <v>0</v>
      </c>
      <c r="S1" s="20" t="s">
        <v>0</v>
      </c>
      <c r="T1" s="20" t="s">
        <v>0</v>
      </c>
      <c r="U1" s="20" t="s">
        <v>0</v>
      </c>
      <c r="V1" s="20" t="s">
        <v>0</v>
      </c>
      <c r="W1" s="20" t="s">
        <v>0</v>
      </c>
      <c r="X1" s="20" t="s">
        <v>0</v>
      </c>
      <c r="Y1" s="20" t="s">
        <v>0</v>
      </c>
      <c r="Z1" s="20"/>
      <c r="AA1" s="20" t="s">
        <v>0</v>
      </c>
      <c r="AB1" s="20" t="s">
        <v>0</v>
      </c>
      <c r="AC1" s="20" t="s">
        <v>0</v>
      </c>
      <c r="AD1" s="20" t="s">
        <v>0</v>
      </c>
      <c r="AE1" s="20" t="s">
        <v>0</v>
      </c>
      <c r="AF1" s="20" t="s">
        <v>0</v>
      </c>
      <c r="AG1" s="20" t="s">
        <v>0</v>
      </c>
    </row>
    <row r="2" spans="1:34" ht="18.75" x14ac:dyDescent="0.3">
      <c r="A2" s="20" t="s">
        <v>1</v>
      </c>
      <c r="B2" s="20" t="s">
        <v>1</v>
      </c>
      <c r="C2" s="20" t="s">
        <v>1</v>
      </c>
      <c r="D2" s="20" t="s">
        <v>1</v>
      </c>
      <c r="E2" s="20" t="s">
        <v>1</v>
      </c>
      <c r="F2" s="20" t="s">
        <v>1</v>
      </c>
      <c r="G2" s="20" t="s">
        <v>1</v>
      </c>
      <c r="H2" s="20" t="s">
        <v>1</v>
      </c>
      <c r="I2" s="20" t="s">
        <v>1</v>
      </c>
      <c r="J2" s="20" t="s">
        <v>1</v>
      </c>
      <c r="K2" s="20" t="s">
        <v>1</v>
      </c>
      <c r="L2" s="20" t="s">
        <v>1</v>
      </c>
      <c r="M2" s="20" t="s">
        <v>1</v>
      </c>
      <c r="N2" s="20" t="s">
        <v>1</v>
      </c>
      <c r="O2" s="20" t="s">
        <v>1</v>
      </c>
      <c r="P2" s="20" t="s">
        <v>1</v>
      </c>
      <c r="Q2" s="20" t="s">
        <v>1</v>
      </c>
      <c r="R2" s="20" t="s">
        <v>1</v>
      </c>
      <c r="S2" s="20" t="s">
        <v>1</v>
      </c>
      <c r="T2" s="20" t="s">
        <v>1</v>
      </c>
      <c r="U2" s="20" t="s">
        <v>1</v>
      </c>
      <c r="V2" s="20" t="s">
        <v>1</v>
      </c>
      <c r="W2" s="20" t="s">
        <v>1</v>
      </c>
      <c r="X2" s="20" t="s">
        <v>1</v>
      </c>
      <c r="Y2" s="20" t="s">
        <v>1</v>
      </c>
      <c r="Z2" s="20"/>
      <c r="AA2" s="20" t="s">
        <v>1</v>
      </c>
      <c r="AB2" s="20" t="s">
        <v>1</v>
      </c>
      <c r="AC2" s="20" t="s">
        <v>1</v>
      </c>
      <c r="AD2" s="20" t="s">
        <v>1</v>
      </c>
      <c r="AE2" s="20" t="s">
        <v>1</v>
      </c>
      <c r="AF2" s="20" t="s">
        <v>1</v>
      </c>
      <c r="AG2" s="20" t="s">
        <v>1</v>
      </c>
    </row>
    <row r="3" spans="1:34" ht="18.75" x14ac:dyDescent="0.3">
      <c r="A3" s="20" t="s">
        <v>2</v>
      </c>
      <c r="B3" s="20" t="s">
        <v>2</v>
      </c>
      <c r="C3" s="20" t="s">
        <v>2</v>
      </c>
      <c r="D3" s="20" t="s">
        <v>2</v>
      </c>
      <c r="E3" s="20" t="s">
        <v>2</v>
      </c>
      <c r="F3" s="20" t="s">
        <v>2</v>
      </c>
      <c r="G3" s="20" t="s">
        <v>2</v>
      </c>
      <c r="H3" s="20" t="s">
        <v>2</v>
      </c>
      <c r="I3" s="20" t="s">
        <v>2</v>
      </c>
      <c r="J3" s="20" t="s">
        <v>2</v>
      </c>
      <c r="K3" s="20" t="s">
        <v>2</v>
      </c>
      <c r="L3" s="20" t="s">
        <v>2</v>
      </c>
      <c r="M3" s="20" t="s">
        <v>2</v>
      </c>
      <c r="N3" s="20" t="s">
        <v>2</v>
      </c>
      <c r="O3" s="20" t="s">
        <v>2</v>
      </c>
      <c r="P3" s="20" t="s">
        <v>2</v>
      </c>
      <c r="Q3" s="20" t="s">
        <v>2</v>
      </c>
      <c r="R3" s="20" t="s">
        <v>2</v>
      </c>
      <c r="S3" s="20" t="s">
        <v>2</v>
      </c>
      <c r="T3" s="20" t="s">
        <v>2</v>
      </c>
      <c r="U3" s="20" t="s">
        <v>2</v>
      </c>
      <c r="V3" s="20" t="s">
        <v>2</v>
      </c>
      <c r="W3" s="20" t="s">
        <v>2</v>
      </c>
      <c r="X3" s="20" t="s">
        <v>2</v>
      </c>
      <c r="Y3" s="20" t="s">
        <v>2</v>
      </c>
      <c r="Z3" s="20"/>
      <c r="AA3" s="20" t="s">
        <v>2</v>
      </c>
      <c r="AB3" s="20" t="s">
        <v>2</v>
      </c>
      <c r="AC3" s="20" t="s">
        <v>2</v>
      </c>
      <c r="AD3" s="20" t="s">
        <v>2</v>
      </c>
      <c r="AE3" s="20" t="s">
        <v>2</v>
      </c>
      <c r="AF3" s="20" t="s">
        <v>2</v>
      </c>
      <c r="AG3" s="20" t="s">
        <v>2</v>
      </c>
    </row>
    <row r="4" spans="1:34" x14ac:dyDescent="0.25">
      <c r="A4" s="5"/>
      <c r="B4" s="4" t="s">
        <v>3</v>
      </c>
      <c r="C4" s="3" t="s">
        <v>4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AA4" s="5"/>
      <c r="AB4" s="5"/>
      <c r="AC4" s="5"/>
      <c r="AD4" s="5"/>
      <c r="AE4" s="5"/>
      <c r="AF4" s="5"/>
      <c r="AG4" s="5"/>
    </row>
    <row r="5" spans="1:34" x14ac:dyDescent="0.25">
      <c r="A5" s="5"/>
      <c r="B5" s="4" t="s">
        <v>5</v>
      </c>
      <c r="C5" s="4" t="s">
        <v>6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AA5" s="5"/>
      <c r="AB5" s="5"/>
      <c r="AC5" s="5"/>
      <c r="AD5" s="5"/>
      <c r="AE5" s="5"/>
      <c r="AF5" s="5"/>
      <c r="AG5" s="5"/>
    </row>
    <row r="6" spans="1:34" x14ac:dyDescent="0.25">
      <c r="A6" s="6"/>
      <c r="B6" s="6"/>
      <c r="C6" s="6"/>
      <c r="D6" s="6"/>
      <c r="E6" s="6"/>
      <c r="F6" s="6"/>
      <c r="G6" s="6"/>
      <c r="H6" s="6"/>
      <c r="I6" s="1" t="s">
        <v>7</v>
      </c>
      <c r="J6" s="7" t="s">
        <v>8</v>
      </c>
      <c r="K6" s="6"/>
      <c r="L6" s="6"/>
      <c r="M6" s="6"/>
      <c r="N6" s="6"/>
      <c r="O6" s="6"/>
      <c r="P6" s="6"/>
      <c r="Q6" s="6"/>
      <c r="R6" s="6"/>
      <c r="S6" s="6"/>
      <c r="V6" s="12"/>
      <c r="W6" s="12"/>
      <c r="X6" s="12"/>
      <c r="Y6" s="12"/>
      <c r="AA6" s="6"/>
      <c r="AB6" s="6"/>
      <c r="AC6" s="6"/>
      <c r="AD6" s="6"/>
      <c r="AE6" s="6"/>
      <c r="AF6" s="6"/>
      <c r="AG6" s="6"/>
    </row>
    <row r="7" spans="1:34" x14ac:dyDescent="0.25">
      <c r="A7" s="2"/>
      <c r="B7" s="2" t="s">
        <v>9</v>
      </c>
      <c r="C7" s="2" t="s">
        <v>10</v>
      </c>
      <c r="D7" s="2" t="s">
        <v>11</v>
      </c>
      <c r="E7" s="2" t="s">
        <v>12</v>
      </c>
      <c r="F7" s="2" t="s">
        <v>13</v>
      </c>
      <c r="G7" s="2" t="s">
        <v>14</v>
      </c>
      <c r="H7" s="2" t="s">
        <v>15</v>
      </c>
      <c r="I7" s="2" t="s">
        <v>16</v>
      </c>
      <c r="J7" s="2" t="s">
        <v>17</v>
      </c>
      <c r="K7" s="2" t="s">
        <v>18</v>
      </c>
      <c r="L7" s="2" t="s">
        <v>19</v>
      </c>
      <c r="M7" s="2" t="s">
        <v>20</v>
      </c>
      <c r="N7" s="2" t="s">
        <v>21</v>
      </c>
      <c r="O7" s="2" t="s">
        <v>22</v>
      </c>
      <c r="P7" s="2" t="s">
        <v>23</v>
      </c>
      <c r="Q7" s="2" t="s">
        <v>24</v>
      </c>
      <c r="R7" s="2" t="s">
        <v>25</v>
      </c>
      <c r="S7" s="2" t="s">
        <v>26</v>
      </c>
      <c r="T7" s="10" t="s">
        <v>27</v>
      </c>
      <c r="U7" s="10" t="s">
        <v>28</v>
      </c>
      <c r="V7" s="2" t="s">
        <v>29</v>
      </c>
      <c r="W7" s="2" t="s">
        <v>30</v>
      </c>
      <c r="X7" s="2" t="s">
        <v>31</v>
      </c>
      <c r="Y7" s="2" t="s">
        <v>32</v>
      </c>
      <c r="Z7" s="10"/>
      <c r="AA7" s="2" t="s">
        <v>33</v>
      </c>
      <c r="AB7" s="2" t="s">
        <v>34</v>
      </c>
      <c r="AC7" s="2" t="s">
        <v>35</v>
      </c>
      <c r="AD7" s="2" t="s">
        <v>36</v>
      </c>
      <c r="AE7" s="2" t="s">
        <v>37</v>
      </c>
      <c r="AF7" s="2" t="s">
        <v>38</v>
      </c>
      <c r="AG7" s="2" t="s">
        <v>39</v>
      </c>
    </row>
    <row r="8" spans="1:34" s="8" customFormat="1" ht="45" x14ac:dyDescent="0.25">
      <c r="A8" s="8" t="s">
        <v>40</v>
      </c>
      <c r="B8" s="8" t="s">
        <v>41</v>
      </c>
      <c r="C8" s="8" t="s">
        <v>42</v>
      </c>
      <c r="D8" s="8" t="s">
        <v>43</v>
      </c>
      <c r="E8" s="8" t="s">
        <v>44</v>
      </c>
      <c r="F8" s="8" t="s">
        <v>45</v>
      </c>
      <c r="G8" s="8" t="s">
        <v>46</v>
      </c>
      <c r="H8" s="8" t="s">
        <v>47</v>
      </c>
      <c r="I8" s="8" t="s">
        <v>48</v>
      </c>
      <c r="J8" s="8" t="s">
        <v>49</v>
      </c>
      <c r="K8" s="8" t="s">
        <v>50</v>
      </c>
      <c r="L8" s="8" t="s">
        <v>51</v>
      </c>
      <c r="M8" s="8" t="s">
        <v>52</v>
      </c>
      <c r="N8" s="8" t="s">
        <v>53</v>
      </c>
      <c r="O8" s="8" t="s">
        <v>54</v>
      </c>
      <c r="P8" s="8" t="s">
        <v>55</v>
      </c>
      <c r="Q8" s="8" t="s">
        <v>56</v>
      </c>
      <c r="R8" s="8" t="s">
        <v>57</v>
      </c>
      <c r="S8" s="8" t="s">
        <v>58</v>
      </c>
      <c r="T8" s="13" t="s">
        <v>59</v>
      </c>
      <c r="U8" s="13" t="s">
        <v>60</v>
      </c>
      <c r="V8" s="14" t="s">
        <v>61</v>
      </c>
      <c r="W8" s="14" t="s">
        <v>62</v>
      </c>
      <c r="X8" s="14" t="s">
        <v>63</v>
      </c>
      <c r="Y8" s="14" t="s">
        <v>64</v>
      </c>
      <c r="Z8" s="13" t="s">
        <v>190</v>
      </c>
      <c r="AA8" s="8" t="s">
        <v>65</v>
      </c>
      <c r="AB8" s="8" t="s">
        <v>66</v>
      </c>
      <c r="AC8" s="8" t="s">
        <v>67</v>
      </c>
      <c r="AD8" s="8" t="s">
        <v>68</v>
      </c>
      <c r="AE8" s="8" t="s">
        <v>69</v>
      </c>
      <c r="AF8" s="8" t="s">
        <v>70</v>
      </c>
      <c r="AG8" s="8" t="s">
        <v>71</v>
      </c>
      <c r="AH8" s="8" t="s">
        <v>72</v>
      </c>
    </row>
    <row r="9" spans="1:34" x14ac:dyDescent="0.25">
      <c r="A9">
        <v>31</v>
      </c>
      <c r="B9" t="s">
        <v>73</v>
      </c>
      <c r="C9" t="s">
        <v>74</v>
      </c>
      <c r="D9" t="s">
        <v>8</v>
      </c>
      <c r="E9" t="s">
        <v>142</v>
      </c>
      <c r="F9" t="s">
        <v>8</v>
      </c>
      <c r="H9" t="s">
        <v>143</v>
      </c>
      <c r="I9" t="s">
        <v>82</v>
      </c>
      <c r="J9" t="s">
        <v>144</v>
      </c>
      <c r="K9">
        <v>1142</v>
      </c>
      <c r="L9">
        <v>1142</v>
      </c>
      <c r="M9">
        <v>0</v>
      </c>
      <c r="N9">
        <v>0</v>
      </c>
      <c r="O9">
        <v>0</v>
      </c>
      <c r="P9">
        <v>762.81399999999996</v>
      </c>
      <c r="Q9">
        <v>791.87099999999998</v>
      </c>
      <c r="R9">
        <v>20000</v>
      </c>
      <c r="S9">
        <v>581140</v>
      </c>
      <c r="T9" s="9">
        <v>0</v>
      </c>
      <c r="U9" s="9">
        <v>512000</v>
      </c>
      <c r="V9" s="5">
        <f>Table134[[#This Row],[CONSUMPTION Q=(O-N)*P]]+Table134[[#This Row],[IMPORTED ENERGY]]-Table134[[#This Row],[EXPORTED ENERGY]]</f>
        <v>69140</v>
      </c>
      <c r="W9" s="5">
        <v>63865.8</v>
      </c>
      <c r="X9" s="5">
        <v>0</v>
      </c>
      <c r="Y9" s="5">
        <v>63865.8</v>
      </c>
      <c r="Z9" s="11">
        <f>(Table134[[#This Row],[NET CONSUMPTION T=Q+R-S]]-Table134[[#This Row],[TOTAL SALES W=U+V]])/Table134[[#This Row],[NET CONSUMPTION T=Q+R-S]]*100</f>
        <v>7.6282904252241783</v>
      </c>
      <c r="AA9">
        <v>-5.44</v>
      </c>
      <c r="AB9">
        <v>764239.97</v>
      </c>
      <c r="AC9">
        <v>677901.91</v>
      </c>
      <c r="AD9">
        <v>1.0544</v>
      </c>
      <c r="AE9">
        <v>0.88700000000000001</v>
      </c>
      <c r="AF9">
        <v>-4.83</v>
      </c>
    </row>
    <row r="10" spans="1:34" x14ac:dyDescent="0.25">
      <c r="A10">
        <v>32</v>
      </c>
      <c r="B10" t="s">
        <v>73</v>
      </c>
      <c r="C10" t="s">
        <v>74</v>
      </c>
      <c r="D10" t="s">
        <v>8</v>
      </c>
      <c r="E10" t="s">
        <v>142</v>
      </c>
      <c r="F10" t="s">
        <v>8</v>
      </c>
      <c r="H10" t="s">
        <v>145</v>
      </c>
      <c r="I10" t="s">
        <v>77</v>
      </c>
      <c r="J10" t="s">
        <v>146</v>
      </c>
      <c r="K10">
        <v>303</v>
      </c>
      <c r="L10">
        <v>303</v>
      </c>
      <c r="M10">
        <v>0</v>
      </c>
      <c r="N10">
        <v>300</v>
      </c>
      <c r="O10">
        <v>0</v>
      </c>
      <c r="P10">
        <v>1014.9690000000001</v>
      </c>
      <c r="Q10">
        <v>1040.673</v>
      </c>
      <c r="R10">
        <v>20000</v>
      </c>
      <c r="S10">
        <v>514080</v>
      </c>
      <c r="T10" s="9">
        <v>100000</v>
      </c>
      <c r="U10" s="9">
        <v>0</v>
      </c>
      <c r="V10" s="5">
        <f>Table134[[#This Row],[CONSUMPTION Q=(O-N)*P]]+Table134[[#This Row],[IMPORTED ENERGY]]-Table134[[#This Row],[EXPORTED ENERGY]]</f>
        <v>614080</v>
      </c>
      <c r="W10" s="5">
        <v>151</v>
      </c>
      <c r="X10" s="5">
        <v>582782.43999999994</v>
      </c>
      <c r="Y10" s="5">
        <v>582933.43999999994</v>
      </c>
      <c r="Z10" s="11">
        <f>(Table134[[#This Row],[NET CONSUMPTION T=Q+R-S]]-Table134[[#This Row],[TOTAL SALES W=U+V]])/Table134[[#This Row],[NET CONSUMPTION T=Q+R-S]]*100</f>
        <v>5.0720687858259605</v>
      </c>
      <c r="AA10">
        <v>9.49</v>
      </c>
      <c r="AB10">
        <v>3422300.19</v>
      </c>
      <c r="AC10">
        <v>3422218.19</v>
      </c>
      <c r="AD10">
        <v>0.90510000000000002</v>
      </c>
      <c r="AE10">
        <v>1</v>
      </c>
      <c r="AF10">
        <v>9.49</v>
      </c>
    </row>
    <row r="11" spans="1:34" x14ac:dyDescent="0.25">
      <c r="A11">
        <v>33</v>
      </c>
      <c r="B11" t="s">
        <v>73</v>
      </c>
      <c r="C11" t="s">
        <v>74</v>
      </c>
      <c r="D11" t="s">
        <v>8</v>
      </c>
      <c r="E11" t="s">
        <v>142</v>
      </c>
      <c r="F11" t="s">
        <v>8</v>
      </c>
      <c r="H11" t="s">
        <v>147</v>
      </c>
      <c r="I11" t="s">
        <v>77</v>
      </c>
      <c r="J11" t="s">
        <v>148</v>
      </c>
      <c r="K11">
        <v>344</v>
      </c>
      <c r="L11">
        <v>344</v>
      </c>
      <c r="M11">
        <v>0</v>
      </c>
      <c r="N11">
        <v>343</v>
      </c>
      <c r="O11">
        <v>0</v>
      </c>
      <c r="P11">
        <v>774.57</v>
      </c>
      <c r="Q11">
        <v>802.34900000000005</v>
      </c>
      <c r="R11">
        <v>20000</v>
      </c>
      <c r="S11">
        <v>555580</v>
      </c>
      <c r="T11" s="9">
        <v>80000</v>
      </c>
      <c r="U11" s="9">
        <v>0</v>
      </c>
      <c r="V11" s="5">
        <f>Table134[[#This Row],[CONSUMPTION Q=(O-N)*P]]+Table134[[#This Row],[IMPORTED ENERGY]]-Table134[[#This Row],[EXPORTED ENERGY]]</f>
        <v>635580</v>
      </c>
      <c r="W11" s="5">
        <v>17</v>
      </c>
      <c r="X11" s="5">
        <v>593284.53099999996</v>
      </c>
      <c r="Y11" s="5">
        <v>593301.53099999996</v>
      </c>
      <c r="Z11" s="11">
        <f>(Table134[[#This Row],[NET CONSUMPTION T=Q+R-S]]-Table134[[#This Row],[TOTAL SALES W=U+V]])/Table134[[#This Row],[NET CONSUMPTION T=Q+R-S]]*100</f>
        <v>6.6519508165769921</v>
      </c>
      <c r="AA11">
        <v>9.5</v>
      </c>
      <c r="AB11">
        <v>3483479.73</v>
      </c>
      <c r="AC11">
        <v>3483479.73</v>
      </c>
      <c r="AD11">
        <v>0.90500000000000003</v>
      </c>
      <c r="AE11">
        <v>1</v>
      </c>
      <c r="AF11">
        <v>9.5</v>
      </c>
    </row>
    <row r="12" spans="1:34" x14ac:dyDescent="0.25">
      <c r="A12">
        <v>34</v>
      </c>
      <c r="B12" t="s">
        <v>73</v>
      </c>
      <c r="C12" t="s">
        <v>74</v>
      </c>
      <c r="D12" t="s">
        <v>8</v>
      </c>
      <c r="E12" t="s">
        <v>142</v>
      </c>
      <c r="F12" t="s">
        <v>8</v>
      </c>
      <c r="H12" t="s">
        <v>149</v>
      </c>
      <c r="I12" t="s">
        <v>77</v>
      </c>
      <c r="J12" t="s">
        <v>150</v>
      </c>
      <c r="K12">
        <v>334</v>
      </c>
      <c r="L12">
        <v>334</v>
      </c>
      <c r="M12">
        <v>0</v>
      </c>
      <c r="N12">
        <v>333</v>
      </c>
      <c r="O12">
        <v>0</v>
      </c>
      <c r="P12">
        <v>1048.7619999999999</v>
      </c>
      <c r="Q12">
        <v>1074.2470000000001</v>
      </c>
      <c r="R12">
        <v>20000</v>
      </c>
      <c r="S12">
        <v>509700</v>
      </c>
      <c r="T12" s="9">
        <v>80000</v>
      </c>
      <c r="U12" s="9">
        <v>0</v>
      </c>
      <c r="V12" s="5">
        <f>Table134[[#This Row],[CONSUMPTION Q=(O-N)*P]]+Table134[[#This Row],[IMPORTED ENERGY]]-Table134[[#This Row],[EXPORTED ENERGY]]</f>
        <v>589700</v>
      </c>
      <c r="W12" s="5">
        <v>8</v>
      </c>
      <c r="X12" s="5">
        <v>551769.71499999997</v>
      </c>
      <c r="Y12" s="5">
        <v>551777.71499999997</v>
      </c>
      <c r="Z12" s="11">
        <f>(Table134[[#This Row],[NET CONSUMPTION T=Q+R-S]]-Table134[[#This Row],[TOTAL SALES W=U+V]])/Table134[[#This Row],[NET CONSUMPTION T=Q+R-S]]*100</f>
        <v>6.4307758182126555</v>
      </c>
      <c r="AA12">
        <v>9.5</v>
      </c>
      <c r="AB12">
        <v>3239069.63</v>
      </c>
      <c r="AC12">
        <v>3239061.63</v>
      </c>
      <c r="AD12">
        <v>0.90500000000000003</v>
      </c>
      <c r="AE12">
        <v>1</v>
      </c>
      <c r="AF12">
        <v>9.5</v>
      </c>
    </row>
    <row r="13" spans="1:34" x14ac:dyDescent="0.25">
      <c r="A13">
        <v>35</v>
      </c>
      <c r="B13" t="s">
        <v>73</v>
      </c>
      <c r="C13" t="s">
        <v>74</v>
      </c>
      <c r="D13" t="s">
        <v>8</v>
      </c>
      <c r="E13" t="s">
        <v>142</v>
      </c>
      <c r="F13" t="s">
        <v>8</v>
      </c>
      <c r="H13" t="s">
        <v>151</v>
      </c>
      <c r="I13" t="s">
        <v>77</v>
      </c>
      <c r="J13" t="s">
        <v>152</v>
      </c>
      <c r="K13">
        <v>383</v>
      </c>
      <c r="L13">
        <v>383</v>
      </c>
      <c r="M13">
        <v>0</v>
      </c>
      <c r="N13">
        <v>383</v>
      </c>
      <c r="O13">
        <v>0</v>
      </c>
      <c r="P13">
        <v>342.51299999999998</v>
      </c>
      <c r="Q13">
        <v>364.661</v>
      </c>
      <c r="R13">
        <v>20000</v>
      </c>
      <c r="S13">
        <v>442960</v>
      </c>
      <c r="T13" s="9">
        <v>337000</v>
      </c>
      <c r="U13" s="9">
        <v>0</v>
      </c>
      <c r="V13" s="5">
        <f>Table134[[#This Row],[CONSUMPTION Q=(O-N)*P]]+Table134[[#This Row],[IMPORTED ENERGY]]-Table134[[#This Row],[EXPORTED ENERGY]]</f>
        <v>779960</v>
      </c>
      <c r="W13" s="5">
        <v>0</v>
      </c>
      <c r="X13" s="5">
        <v>459703.02399999998</v>
      </c>
      <c r="Y13" s="5">
        <v>459703.02399999998</v>
      </c>
      <c r="Z13" s="11">
        <f>(Table134[[#This Row],[NET CONSUMPTION T=Q+R-S]]-Table134[[#This Row],[TOTAL SALES W=U+V]])/Table134[[#This Row],[NET CONSUMPTION T=Q+R-S]]*100</f>
        <v>41.06069234319709</v>
      </c>
      <c r="AA13">
        <v>9.5</v>
      </c>
      <c r="AB13">
        <v>2698457.37</v>
      </c>
      <c r="AC13">
        <v>2698457.37</v>
      </c>
      <c r="AD13">
        <v>0.90500000000000003</v>
      </c>
      <c r="AE13">
        <v>1</v>
      </c>
      <c r="AF13">
        <v>9.5</v>
      </c>
    </row>
    <row r="14" spans="1:34" x14ac:dyDescent="0.25">
      <c r="A14">
        <v>36</v>
      </c>
      <c r="B14" t="s">
        <v>73</v>
      </c>
      <c r="C14" t="s">
        <v>74</v>
      </c>
      <c r="D14" t="s">
        <v>8</v>
      </c>
      <c r="E14" t="s">
        <v>142</v>
      </c>
      <c r="F14" t="s">
        <v>8</v>
      </c>
      <c r="H14" t="s">
        <v>153</v>
      </c>
      <c r="I14" t="s">
        <v>82</v>
      </c>
      <c r="J14" t="s">
        <v>154</v>
      </c>
      <c r="K14">
        <v>1621</v>
      </c>
      <c r="L14">
        <v>1621</v>
      </c>
      <c r="M14">
        <v>0</v>
      </c>
      <c r="N14">
        <v>0</v>
      </c>
      <c r="O14">
        <v>0</v>
      </c>
      <c r="P14">
        <v>96.144999999999996</v>
      </c>
      <c r="Q14">
        <v>122.349</v>
      </c>
      <c r="R14">
        <v>10000</v>
      </c>
      <c r="S14">
        <v>262040</v>
      </c>
      <c r="T14" s="9">
        <v>0</v>
      </c>
      <c r="U14" s="9">
        <v>165000</v>
      </c>
      <c r="V14" s="5">
        <f>Table134[[#This Row],[CONSUMPTION Q=(O-N)*P]]+Table134[[#This Row],[IMPORTED ENERGY]]-Table134[[#This Row],[EXPORTED ENERGY]]</f>
        <v>97040</v>
      </c>
      <c r="W14" s="5">
        <v>89593.73</v>
      </c>
      <c r="X14" s="5">
        <v>0</v>
      </c>
      <c r="Y14" s="5">
        <v>89593.73</v>
      </c>
      <c r="Z14" s="11">
        <f>(Table134[[#This Row],[NET CONSUMPTION T=Q+R-S]]-Table134[[#This Row],[TOTAL SALES W=U+V]])/Table134[[#This Row],[NET CONSUMPTION T=Q+R-S]]*100</f>
        <v>7.6734027205276227</v>
      </c>
      <c r="AA14">
        <v>7.67</v>
      </c>
      <c r="AB14">
        <v>1011415.42</v>
      </c>
      <c r="AC14">
        <v>740460.71</v>
      </c>
      <c r="AD14">
        <v>0.92330000000000001</v>
      </c>
      <c r="AE14">
        <v>0.73209999999999997</v>
      </c>
      <c r="AF14">
        <v>5.62</v>
      </c>
    </row>
    <row r="15" spans="1:34" x14ac:dyDescent="0.25">
      <c r="A15">
        <v>37</v>
      </c>
      <c r="B15" t="s">
        <v>73</v>
      </c>
      <c r="C15" t="s">
        <v>74</v>
      </c>
      <c r="D15" t="s">
        <v>8</v>
      </c>
      <c r="E15" t="s">
        <v>142</v>
      </c>
      <c r="F15" t="s">
        <v>8</v>
      </c>
      <c r="H15" t="s">
        <v>155</v>
      </c>
      <c r="I15" t="s">
        <v>77</v>
      </c>
      <c r="J15" t="s">
        <v>156</v>
      </c>
      <c r="K15">
        <v>222</v>
      </c>
      <c r="L15">
        <v>222</v>
      </c>
      <c r="M15">
        <v>0</v>
      </c>
      <c r="N15">
        <v>222</v>
      </c>
      <c r="O15">
        <v>0</v>
      </c>
      <c r="P15">
        <v>604.92999999999995</v>
      </c>
      <c r="Q15">
        <v>624.06299999999999</v>
      </c>
      <c r="R15">
        <v>20000</v>
      </c>
      <c r="S15">
        <v>382660</v>
      </c>
      <c r="T15" s="9">
        <v>0</v>
      </c>
      <c r="U15" s="9">
        <v>0</v>
      </c>
      <c r="V15" s="5">
        <f>Table134[[#This Row],[CONSUMPTION Q=(O-N)*P]]+Table134[[#This Row],[IMPORTED ENERGY]]-Table134[[#This Row],[EXPORTED ENERGY]]</f>
        <v>382660</v>
      </c>
      <c r="W15" s="5">
        <v>0</v>
      </c>
      <c r="X15" s="5">
        <v>348526.00400000002</v>
      </c>
      <c r="Y15" s="5">
        <v>348526.00400000002</v>
      </c>
      <c r="Z15" s="11">
        <f>(Table134[[#This Row],[NET CONSUMPTION T=Q+R-S]]-Table134[[#This Row],[TOTAL SALES W=U+V]])/Table134[[#This Row],[NET CONSUMPTION T=Q+R-S]]*100</f>
        <v>8.9201892019024669</v>
      </c>
      <c r="AA15">
        <v>8.92</v>
      </c>
      <c r="AB15">
        <v>2045847.74</v>
      </c>
      <c r="AC15">
        <v>2045847.74</v>
      </c>
      <c r="AD15">
        <v>0.91080000000000005</v>
      </c>
      <c r="AE15">
        <v>1</v>
      </c>
      <c r="AF15">
        <v>8.92</v>
      </c>
    </row>
    <row r="16" spans="1:34" x14ac:dyDescent="0.25">
      <c r="A16">
        <v>38</v>
      </c>
      <c r="B16" t="s">
        <v>73</v>
      </c>
      <c r="C16" t="s">
        <v>74</v>
      </c>
      <c r="D16" t="s">
        <v>8</v>
      </c>
      <c r="E16" t="s">
        <v>142</v>
      </c>
      <c r="F16" t="s">
        <v>8</v>
      </c>
      <c r="H16" t="s">
        <v>157</v>
      </c>
      <c r="I16" t="s">
        <v>77</v>
      </c>
      <c r="J16" t="s">
        <v>158</v>
      </c>
      <c r="K16">
        <v>209</v>
      </c>
      <c r="L16">
        <v>209</v>
      </c>
      <c r="M16">
        <v>0</v>
      </c>
      <c r="N16">
        <v>209</v>
      </c>
      <c r="O16">
        <v>0</v>
      </c>
      <c r="P16">
        <v>565.99599999999998</v>
      </c>
      <c r="Q16">
        <v>582.99400000000003</v>
      </c>
      <c r="R16">
        <v>20000</v>
      </c>
      <c r="S16">
        <v>339960</v>
      </c>
      <c r="T16" s="9">
        <v>48000</v>
      </c>
      <c r="U16" s="9">
        <v>0</v>
      </c>
      <c r="V16" s="5">
        <f>Table134[[#This Row],[CONSUMPTION Q=(O-N)*P]]+Table134[[#This Row],[IMPORTED ENERGY]]-Table134[[#This Row],[EXPORTED ENERGY]]</f>
        <v>387960</v>
      </c>
      <c r="W16" s="5">
        <v>0</v>
      </c>
      <c r="X16" s="5">
        <v>360153.016</v>
      </c>
      <c r="Y16" s="5">
        <v>360153.016</v>
      </c>
      <c r="Z16" s="11">
        <f>(Table134[[#This Row],[NET CONSUMPTION T=Q+R-S]]-Table134[[#This Row],[TOTAL SALES W=U+V]])/Table134[[#This Row],[NET CONSUMPTION T=Q+R-S]]*100</f>
        <v>7.1674873698319406</v>
      </c>
      <c r="AA16">
        <v>9.5</v>
      </c>
      <c r="AB16">
        <v>2114097.73</v>
      </c>
      <c r="AC16">
        <v>2114097.73</v>
      </c>
      <c r="AD16">
        <v>0.90500000000000003</v>
      </c>
      <c r="AE16">
        <v>1</v>
      </c>
      <c r="AF16">
        <v>9.5</v>
      </c>
    </row>
    <row r="17" spans="1:32" x14ac:dyDescent="0.25">
      <c r="A17">
        <v>39</v>
      </c>
      <c r="B17" t="s">
        <v>73</v>
      </c>
      <c r="C17" t="s">
        <v>74</v>
      </c>
      <c r="D17" t="s">
        <v>8</v>
      </c>
      <c r="E17" t="s">
        <v>142</v>
      </c>
      <c r="F17" t="s">
        <v>8</v>
      </c>
      <c r="H17" t="s">
        <v>159</v>
      </c>
      <c r="I17" t="s">
        <v>82</v>
      </c>
      <c r="J17" t="s">
        <v>160</v>
      </c>
      <c r="K17">
        <v>1057</v>
      </c>
      <c r="L17">
        <v>1057</v>
      </c>
      <c r="M17">
        <v>0</v>
      </c>
      <c r="N17">
        <v>0</v>
      </c>
      <c r="O17">
        <v>0</v>
      </c>
      <c r="P17">
        <v>0</v>
      </c>
      <c r="Q17">
        <v>0</v>
      </c>
      <c r="R17">
        <v>20000</v>
      </c>
      <c r="S17">
        <v>0</v>
      </c>
      <c r="T17" s="9">
        <v>67000</v>
      </c>
      <c r="U17" s="9">
        <v>0</v>
      </c>
      <c r="V17" s="5">
        <f>Table134[[#This Row],[CONSUMPTION Q=(O-N)*P]]+Table134[[#This Row],[IMPORTED ENERGY]]-Table134[[#This Row],[EXPORTED ENERGY]]</f>
        <v>67000</v>
      </c>
      <c r="W17" s="5">
        <v>61075</v>
      </c>
      <c r="X17" s="5">
        <v>0</v>
      </c>
      <c r="Y17" s="5">
        <v>61075</v>
      </c>
      <c r="Z17" s="11">
        <f>(Table134[[#This Row],[NET CONSUMPTION T=Q+R-S]]-Table134[[#This Row],[TOTAL SALES W=U+V]])/Table134[[#This Row],[NET CONSUMPTION T=Q+R-S]]*100</f>
        <v>8.8432835820895512</v>
      </c>
      <c r="AA17">
        <v>-6107500</v>
      </c>
      <c r="AB17">
        <v>664816.18000000005</v>
      </c>
      <c r="AC17">
        <v>457260.18</v>
      </c>
      <c r="AD17">
        <v>0</v>
      </c>
      <c r="AE17">
        <v>0.68779999999999997</v>
      </c>
      <c r="AF17">
        <v>68.78</v>
      </c>
    </row>
    <row r="18" spans="1:32" x14ac:dyDescent="0.25">
      <c r="A18">
        <v>40</v>
      </c>
      <c r="B18" t="s">
        <v>73</v>
      </c>
      <c r="C18" t="s">
        <v>74</v>
      </c>
      <c r="D18" t="s">
        <v>8</v>
      </c>
      <c r="E18" t="s">
        <v>142</v>
      </c>
      <c r="F18" t="s">
        <v>8</v>
      </c>
      <c r="H18" t="s">
        <v>161</v>
      </c>
      <c r="I18" t="s">
        <v>82</v>
      </c>
      <c r="J18" t="s">
        <v>162</v>
      </c>
      <c r="K18">
        <v>1114</v>
      </c>
      <c r="L18">
        <v>1114</v>
      </c>
      <c r="M18">
        <v>0</v>
      </c>
      <c r="N18">
        <v>0</v>
      </c>
      <c r="O18">
        <v>0</v>
      </c>
      <c r="P18">
        <v>6580</v>
      </c>
      <c r="Q18">
        <v>6936.1</v>
      </c>
      <c r="R18">
        <v>1000</v>
      </c>
      <c r="S18">
        <v>356100</v>
      </c>
      <c r="T18" s="9">
        <v>0</v>
      </c>
      <c r="U18" s="9">
        <v>273000</v>
      </c>
      <c r="V18" s="5">
        <f>Table134[[#This Row],[CONSUMPTION Q=(O-N)*P]]+Table134[[#This Row],[IMPORTED ENERGY]]-Table134[[#This Row],[EXPORTED ENERGY]]</f>
        <v>83100</v>
      </c>
      <c r="W18" s="5">
        <v>76097</v>
      </c>
      <c r="X18" s="5">
        <v>0</v>
      </c>
      <c r="Y18" s="5">
        <v>76097</v>
      </c>
      <c r="Z18" s="11">
        <f>(Table134[[#This Row],[NET CONSUMPTION T=Q+R-S]]-Table134[[#This Row],[TOTAL SALES W=U+V]])/Table134[[#This Row],[NET CONSUMPTION T=Q+R-S]]*100</f>
        <v>8.42719614921781</v>
      </c>
      <c r="AA18">
        <v>-8.5500000000000007</v>
      </c>
      <c r="AB18">
        <v>815183.59</v>
      </c>
      <c r="AC18">
        <v>623376.59</v>
      </c>
      <c r="AD18">
        <v>1.0854999999999999</v>
      </c>
      <c r="AE18">
        <v>0.76470000000000005</v>
      </c>
      <c r="AF18">
        <v>-6.54</v>
      </c>
    </row>
    <row r="19" spans="1:32" x14ac:dyDescent="0.25">
      <c r="A19">
        <v>41</v>
      </c>
      <c r="B19" t="s">
        <v>73</v>
      </c>
      <c r="C19" t="s">
        <v>74</v>
      </c>
      <c r="D19" t="s">
        <v>8</v>
      </c>
      <c r="E19" t="s">
        <v>142</v>
      </c>
      <c r="F19" t="s">
        <v>8</v>
      </c>
      <c r="H19" t="s">
        <v>163</v>
      </c>
      <c r="I19" t="s">
        <v>77</v>
      </c>
      <c r="J19" t="s">
        <v>164</v>
      </c>
      <c r="K19">
        <v>363</v>
      </c>
      <c r="L19">
        <v>363</v>
      </c>
      <c r="M19">
        <v>0</v>
      </c>
      <c r="N19">
        <v>363</v>
      </c>
      <c r="O19">
        <v>0</v>
      </c>
      <c r="P19">
        <v>7963.7</v>
      </c>
      <c r="Q19">
        <v>8193.9</v>
      </c>
      <c r="R19">
        <v>2000</v>
      </c>
      <c r="S19">
        <v>460400</v>
      </c>
      <c r="T19" s="9">
        <v>72000</v>
      </c>
      <c r="U19" s="9">
        <v>0</v>
      </c>
      <c r="V19" s="5">
        <f>Table134[[#This Row],[CONSUMPTION Q=(O-N)*P]]+Table134[[#This Row],[IMPORTED ENERGY]]-Table134[[#This Row],[EXPORTED ENERGY]]</f>
        <v>532400</v>
      </c>
      <c r="W19" s="5">
        <v>0</v>
      </c>
      <c r="X19" s="5">
        <v>509790.68699999998</v>
      </c>
      <c r="Y19" s="5">
        <v>509790.68699999998</v>
      </c>
      <c r="Z19" s="11">
        <f>(Table134[[#This Row],[NET CONSUMPTION T=Q+R-S]]-Table134[[#This Row],[TOTAL SALES W=U+V]])/Table134[[#This Row],[NET CONSUMPTION T=Q+R-S]]*100</f>
        <v>4.2466778737791175</v>
      </c>
      <c r="AA19">
        <v>9.0299999999999994</v>
      </c>
      <c r="AB19">
        <v>2992471.67</v>
      </c>
      <c r="AC19">
        <v>2992471.67</v>
      </c>
      <c r="AD19">
        <v>0.90969999999999995</v>
      </c>
      <c r="AE19">
        <v>1</v>
      </c>
      <c r="AF19">
        <v>9.0299999999999994</v>
      </c>
    </row>
    <row r="20" spans="1:32" x14ac:dyDescent="0.25">
      <c r="A20">
        <v>42</v>
      </c>
      <c r="B20" t="s">
        <v>73</v>
      </c>
      <c r="C20" t="s">
        <v>74</v>
      </c>
      <c r="D20" t="s">
        <v>8</v>
      </c>
      <c r="E20" t="s">
        <v>142</v>
      </c>
      <c r="F20" t="s">
        <v>8</v>
      </c>
      <c r="H20" t="s">
        <v>165</v>
      </c>
      <c r="I20" t="s">
        <v>77</v>
      </c>
      <c r="J20" t="s">
        <v>166</v>
      </c>
      <c r="K20">
        <v>331</v>
      </c>
      <c r="L20">
        <v>331</v>
      </c>
      <c r="M20">
        <v>0</v>
      </c>
      <c r="N20">
        <v>320</v>
      </c>
      <c r="O20">
        <v>0</v>
      </c>
      <c r="P20">
        <v>11458.7</v>
      </c>
      <c r="Q20">
        <v>11617.1</v>
      </c>
      <c r="R20">
        <v>2000</v>
      </c>
      <c r="S20">
        <v>316800</v>
      </c>
      <c r="T20" s="9">
        <v>166000</v>
      </c>
      <c r="U20" s="9">
        <v>0</v>
      </c>
      <c r="V20" s="5">
        <f>Table134[[#This Row],[CONSUMPTION Q=(O-N)*P]]+Table134[[#This Row],[IMPORTED ENERGY]]-Table134[[#This Row],[EXPORTED ENERGY]]</f>
        <v>482800</v>
      </c>
      <c r="W20" s="5">
        <v>180</v>
      </c>
      <c r="X20" s="5">
        <v>454852.70299999998</v>
      </c>
      <c r="Y20" s="5">
        <v>455032.70299999998</v>
      </c>
      <c r="Z20" s="11">
        <f>(Table134[[#This Row],[NET CONSUMPTION T=Q+R-S]]-Table134[[#This Row],[TOTAL SALES W=U+V]])/Table134[[#This Row],[NET CONSUMPTION T=Q+R-S]]*100</f>
        <v>5.7513042667771375</v>
      </c>
      <c r="AA20">
        <v>9.5</v>
      </c>
      <c r="AB20">
        <v>2672550.58</v>
      </c>
      <c r="AC20">
        <v>2672502.58</v>
      </c>
      <c r="AD20">
        <v>0.90500000000000003</v>
      </c>
      <c r="AE20">
        <v>1</v>
      </c>
      <c r="AF20">
        <v>9.5</v>
      </c>
    </row>
    <row r="21" spans="1:32" x14ac:dyDescent="0.25">
      <c r="T21" s="9">
        <f>SUBTOTAL(109,Table134[IMPORTED ENERGY])</f>
        <v>950000</v>
      </c>
      <c r="U21" s="9">
        <f>SUBTOTAL(109,Table134[EXPORTED ENERGY])</f>
        <v>950000</v>
      </c>
      <c r="Z21" s="11"/>
    </row>
    <row r="24" spans="1:32" x14ac:dyDescent="0.25">
      <c r="S24">
        <f>Table134[[#Totals],[IMPORTED ENERGY]]-Table134[[#Totals],[EXPORTED ENERGY]]</f>
        <v>0</v>
      </c>
    </row>
  </sheetData>
  <mergeCells count="3">
    <mergeCell ref="A1:AG1"/>
    <mergeCell ref="A2:AG2"/>
    <mergeCell ref="A3:AG3"/>
  </mergeCells>
  <pageMargins left="0.75" right="0.75" top="0.75" bottom="0.5" header="0.5" footer="0.75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ABAE04-7A92-4B5E-B97D-8C24AF53D39B}">
  <dimension ref="A1:AH26"/>
  <sheetViews>
    <sheetView tabSelected="1" topLeftCell="I1" workbookViewId="0">
      <selection activeCell="AA15" sqref="AA15"/>
    </sheetView>
  </sheetViews>
  <sheetFormatPr defaultRowHeight="15" x14ac:dyDescent="0.25"/>
  <cols>
    <col min="1" max="1" width="9.140625" customWidth="1"/>
    <col min="2" max="3" width="20.7109375" customWidth="1"/>
    <col min="4" max="4" width="16.28515625" customWidth="1"/>
    <col min="5" max="5" width="22.7109375" customWidth="1"/>
    <col min="6" max="6" width="18.28515625" hidden="1" customWidth="1"/>
    <col min="7" max="7" width="16.7109375" hidden="1" customWidth="1"/>
    <col min="8" max="8" width="28" customWidth="1"/>
    <col min="9" max="9" width="15.5703125" customWidth="1"/>
    <col min="10" max="10" width="18.5703125" customWidth="1"/>
    <col min="11" max="11" width="6.5703125" hidden="1" customWidth="1"/>
    <col min="12" max="12" width="20" hidden="1" customWidth="1"/>
    <col min="13" max="13" width="21.85546875" hidden="1" customWidth="1"/>
    <col min="14" max="14" width="22.42578125" hidden="1" customWidth="1"/>
    <col min="15" max="15" width="15.7109375" hidden="1" customWidth="1"/>
    <col min="16" max="16" width="9.140625" customWidth="1"/>
    <col min="17" max="17" width="12" customWidth="1"/>
    <col min="18" max="18" width="7.42578125" customWidth="1"/>
    <col min="19" max="19" width="13.5703125" customWidth="1"/>
    <col min="20" max="20" width="10.42578125" style="9" customWidth="1"/>
    <col min="21" max="21" width="13.140625" style="9" customWidth="1"/>
    <col min="22" max="22" width="16.5703125" style="5" customWidth="1"/>
    <col min="23" max="23" width="8.85546875" style="5" customWidth="1"/>
    <col min="24" max="24" width="11" style="5" customWidth="1"/>
    <col min="25" max="25" width="12.42578125" style="5" customWidth="1"/>
    <col min="26" max="26" width="11.7109375" style="9" customWidth="1"/>
    <col min="27" max="27" width="13.140625" customWidth="1"/>
    <col min="28" max="28" width="14" customWidth="1"/>
    <col min="29" max="29" width="15.28515625" customWidth="1"/>
    <col min="30" max="30" width="29" customWidth="1"/>
    <col min="31" max="31" width="32" customWidth="1"/>
    <col min="32" max="32" width="34.85546875" customWidth="1"/>
    <col min="33" max="33" width="12.85546875" customWidth="1"/>
    <col min="34" max="34" width="11.140625" customWidth="1"/>
  </cols>
  <sheetData>
    <row r="1" spans="1:34" ht="18.75" x14ac:dyDescent="0.3">
      <c r="A1" s="20" t="s">
        <v>0</v>
      </c>
      <c r="B1" s="20" t="s">
        <v>0</v>
      </c>
      <c r="C1" s="20" t="s">
        <v>0</v>
      </c>
      <c r="D1" s="20" t="s">
        <v>0</v>
      </c>
      <c r="E1" s="20" t="s">
        <v>0</v>
      </c>
      <c r="F1" s="20" t="s">
        <v>0</v>
      </c>
      <c r="G1" s="20" t="s">
        <v>0</v>
      </c>
      <c r="H1" s="20" t="s">
        <v>0</v>
      </c>
      <c r="I1" s="20" t="s">
        <v>0</v>
      </c>
      <c r="J1" s="20" t="s">
        <v>0</v>
      </c>
      <c r="K1" s="20" t="s">
        <v>0</v>
      </c>
      <c r="L1" s="20" t="s">
        <v>0</v>
      </c>
      <c r="M1" s="20" t="s">
        <v>0</v>
      </c>
      <c r="N1" s="20" t="s">
        <v>0</v>
      </c>
      <c r="O1" s="20" t="s">
        <v>0</v>
      </c>
      <c r="P1" s="20" t="s">
        <v>0</v>
      </c>
      <c r="Q1" s="20" t="s">
        <v>0</v>
      </c>
      <c r="R1" s="20" t="s">
        <v>0</v>
      </c>
      <c r="S1" s="20" t="s">
        <v>0</v>
      </c>
      <c r="T1" s="20" t="s">
        <v>0</v>
      </c>
      <c r="U1" s="20" t="s">
        <v>0</v>
      </c>
      <c r="V1" s="20" t="s">
        <v>0</v>
      </c>
      <c r="W1" s="20" t="s">
        <v>0</v>
      </c>
      <c r="X1" s="20" t="s">
        <v>0</v>
      </c>
      <c r="Y1" s="20" t="s">
        <v>0</v>
      </c>
      <c r="Z1" s="20"/>
      <c r="AA1" s="20" t="s">
        <v>0</v>
      </c>
      <c r="AB1" s="20" t="s">
        <v>0</v>
      </c>
      <c r="AC1" s="20" t="s">
        <v>0</v>
      </c>
      <c r="AD1" s="20" t="s">
        <v>0</v>
      </c>
      <c r="AE1" s="20" t="s">
        <v>0</v>
      </c>
      <c r="AF1" s="20" t="s">
        <v>0</v>
      </c>
      <c r="AG1" s="20" t="s">
        <v>0</v>
      </c>
    </row>
    <row r="2" spans="1:34" ht="18.75" x14ac:dyDescent="0.3">
      <c r="A2" s="20" t="s">
        <v>1</v>
      </c>
      <c r="B2" s="20" t="s">
        <v>1</v>
      </c>
      <c r="C2" s="20" t="s">
        <v>1</v>
      </c>
      <c r="D2" s="20" t="s">
        <v>1</v>
      </c>
      <c r="E2" s="20" t="s">
        <v>1</v>
      </c>
      <c r="F2" s="20" t="s">
        <v>1</v>
      </c>
      <c r="G2" s="20" t="s">
        <v>1</v>
      </c>
      <c r="H2" s="20" t="s">
        <v>1</v>
      </c>
      <c r="I2" s="20" t="s">
        <v>1</v>
      </c>
      <c r="J2" s="20" t="s">
        <v>1</v>
      </c>
      <c r="K2" s="20" t="s">
        <v>1</v>
      </c>
      <c r="L2" s="20" t="s">
        <v>1</v>
      </c>
      <c r="M2" s="20" t="s">
        <v>1</v>
      </c>
      <c r="N2" s="20" t="s">
        <v>1</v>
      </c>
      <c r="O2" s="20" t="s">
        <v>1</v>
      </c>
      <c r="P2" s="20" t="s">
        <v>1</v>
      </c>
      <c r="Q2" s="20" t="s">
        <v>1</v>
      </c>
      <c r="R2" s="20" t="s">
        <v>1</v>
      </c>
      <c r="S2" s="20" t="s">
        <v>1</v>
      </c>
      <c r="T2" s="20" t="s">
        <v>1</v>
      </c>
      <c r="U2" s="20" t="s">
        <v>1</v>
      </c>
      <c r="V2" s="20" t="s">
        <v>1</v>
      </c>
      <c r="W2" s="20" t="s">
        <v>1</v>
      </c>
      <c r="X2" s="20" t="s">
        <v>1</v>
      </c>
      <c r="Y2" s="20" t="s">
        <v>1</v>
      </c>
      <c r="Z2" s="20"/>
      <c r="AA2" s="20" t="s">
        <v>1</v>
      </c>
      <c r="AB2" s="20" t="s">
        <v>1</v>
      </c>
      <c r="AC2" s="20" t="s">
        <v>1</v>
      </c>
      <c r="AD2" s="20" t="s">
        <v>1</v>
      </c>
      <c r="AE2" s="20" t="s">
        <v>1</v>
      </c>
      <c r="AF2" s="20" t="s">
        <v>1</v>
      </c>
      <c r="AG2" s="20" t="s">
        <v>1</v>
      </c>
    </row>
    <row r="3" spans="1:34" ht="18.75" x14ac:dyDescent="0.3">
      <c r="A3" s="20" t="s">
        <v>2</v>
      </c>
      <c r="B3" s="20" t="s">
        <v>2</v>
      </c>
      <c r="C3" s="20" t="s">
        <v>2</v>
      </c>
      <c r="D3" s="20" t="s">
        <v>2</v>
      </c>
      <c r="E3" s="20" t="s">
        <v>2</v>
      </c>
      <c r="F3" s="20" t="s">
        <v>2</v>
      </c>
      <c r="G3" s="20" t="s">
        <v>2</v>
      </c>
      <c r="H3" s="20" t="s">
        <v>2</v>
      </c>
      <c r="I3" s="20" t="s">
        <v>2</v>
      </c>
      <c r="J3" s="20" t="s">
        <v>2</v>
      </c>
      <c r="K3" s="20" t="s">
        <v>2</v>
      </c>
      <c r="L3" s="20" t="s">
        <v>2</v>
      </c>
      <c r="M3" s="20" t="s">
        <v>2</v>
      </c>
      <c r="N3" s="20" t="s">
        <v>2</v>
      </c>
      <c r="O3" s="20" t="s">
        <v>2</v>
      </c>
      <c r="P3" s="20" t="s">
        <v>2</v>
      </c>
      <c r="Q3" s="20" t="s">
        <v>2</v>
      </c>
      <c r="R3" s="20" t="s">
        <v>2</v>
      </c>
      <c r="S3" s="20" t="s">
        <v>2</v>
      </c>
      <c r="T3" s="20" t="s">
        <v>2</v>
      </c>
      <c r="U3" s="20" t="s">
        <v>2</v>
      </c>
      <c r="V3" s="20" t="s">
        <v>2</v>
      </c>
      <c r="W3" s="20" t="s">
        <v>2</v>
      </c>
      <c r="X3" s="20" t="s">
        <v>2</v>
      </c>
      <c r="Y3" s="20" t="s">
        <v>2</v>
      </c>
      <c r="Z3" s="20"/>
      <c r="AA3" s="20" t="s">
        <v>2</v>
      </c>
      <c r="AB3" s="20" t="s">
        <v>2</v>
      </c>
      <c r="AC3" s="20" t="s">
        <v>2</v>
      </c>
      <c r="AD3" s="20" t="s">
        <v>2</v>
      </c>
      <c r="AE3" s="20" t="s">
        <v>2</v>
      </c>
      <c r="AF3" s="20" t="s">
        <v>2</v>
      </c>
      <c r="AG3" s="20" t="s">
        <v>2</v>
      </c>
    </row>
    <row r="4" spans="1:34" x14ac:dyDescent="0.25">
      <c r="A4" s="5"/>
      <c r="B4" s="4" t="s">
        <v>3</v>
      </c>
      <c r="C4" s="3" t="s">
        <v>4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AA4" s="5"/>
      <c r="AB4" s="5"/>
      <c r="AC4" s="5"/>
      <c r="AD4" s="5"/>
      <c r="AE4" s="5"/>
      <c r="AF4" s="5"/>
      <c r="AG4" s="5"/>
    </row>
    <row r="5" spans="1:34" x14ac:dyDescent="0.25">
      <c r="A5" s="5"/>
      <c r="B5" s="4" t="s">
        <v>5</v>
      </c>
      <c r="C5" s="4" t="s">
        <v>6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AA5" s="5"/>
      <c r="AB5" s="5"/>
      <c r="AC5" s="5"/>
      <c r="AD5" s="5"/>
      <c r="AE5" s="5"/>
      <c r="AF5" s="5"/>
      <c r="AG5" s="5"/>
    </row>
    <row r="6" spans="1:34" x14ac:dyDescent="0.25">
      <c r="A6" s="6"/>
      <c r="B6" s="6"/>
      <c r="C6" s="6"/>
      <c r="D6" s="6"/>
      <c r="E6" s="6"/>
      <c r="F6" s="6"/>
      <c r="G6" s="6"/>
      <c r="H6" s="6"/>
      <c r="I6" s="1" t="s">
        <v>7</v>
      </c>
      <c r="J6" s="7" t="s">
        <v>8</v>
      </c>
      <c r="K6" s="6"/>
      <c r="L6" s="6"/>
      <c r="M6" s="6"/>
      <c r="N6" s="6"/>
      <c r="O6" s="6"/>
      <c r="P6" s="6"/>
      <c r="Q6" s="6"/>
      <c r="R6" s="6"/>
      <c r="S6" s="6"/>
      <c r="V6" s="12"/>
      <c r="W6" s="12"/>
      <c r="X6" s="12"/>
      <c r="Y6" s="12"/>
      <c r="AA6" s="6"/>
      <c r="AB6" s="6"/>
      <c r="AC6" s="6"/>
      <c r="AD6" s="6"/>
      <c r="AE6" s="6"/>
      <c r="AF6" s="6"/>
      <c r="AG6" s="6"/>
    </row>
    <row r="7" spans="1:34" x14ac:dyDescent="0.25">
      <c r="A7" s="2"/>
      <c r="B7" s="2" t="s">
        <v>9</v>
      </c>
      <c r="C7" s="2" t="s">
        <v>10</v>
      </c>
      <c r="D7" s="2" t="s">
        <v>11</v>
      </c>
      <c r="E7" s="2" t="s">
        <v>12</v>
      </c>
      <c r="F7" s="2" t="s">
        <v>13</v>
      </c>
      <c r="G7" s="2" t="s">
        <v>14</v>
      </c>
      <c r="H7" s="2" t="s">
        <v>15</v>
      </c>
      <c r="I7" s="2" t="s">
        <v>16</v>
      </c>
      <c r="J7" s="2" t="s">
        <v>17</v>
      </c>
      <c r="K7" s="2" t="s">
        <v>18</v>
      </c>
      <c r="L7" s="2" t="s">
        <v>19</v>
      </c>
      <c r="M7" s="2" t="s">
        <v>20</v>
      </c>
      <c r="N7" s="2" t="s">
        <v>21</v>
      </c>
      <c r="O7" s="2" t="s">
        <v>22</v>
      </c>
      <c r="P7" s="2" t="s">
        <v>23</v>
      </c>
      <c r="Q7" s="2" t="s">
        <v>24</v>
      </c>
      <c r="R7" s="2" t="s">
        <v>25</v>
      </c>
      <c r="S7" s="2" t="s">
        <v>26</v>
      </c>
      <c r="T7" s="10" t="s">
        <v>27</v>
      </c>
      <c r="U7" s="10" t="s">
        <v>28</v>
      </c>
      <c r="V7" s="2" t="s">
        <v>29</v>
      </c>
      <c r="W7" s="2" t="s">
        <v>30</v>
      </c>
      <c r="X7" s="2" t="s">
        <v>31</v>
      </c>
      <c r="Y7" s="2" t="s">
        <v>32</v>
      </c>
      <c r="Z7" s="10"/>
      <c r="AA7" s="2" t="s">
        <v>33</v>
      </c>
      <c r="AB7" s="2" t="s">
        <v>34</v>
      </c>
      <c r="AC7" s="2" t="s">
        <v>35</v>
      </c>
      <c r="AD7" s="2" t="s">
        <v>36</v>
      </c>
      <c r="AE7" s="2" t="s">
        <v>37</v>
      </c>
      <c r="AF7" s="2" t="s">
        <v>38</v>
      </c>
      <c r="AG7" s="2" t="s">
        <v>39</v>
      </c>
    </row>
    <row r="8" spans="1:34" s="8" customFormat="1" ht="45" x14ac:dyDescent="0.25">
      <c r="A8" s="8" t="s">
        <v>40</v>
      </c>
      <c r="B8" s="8" t="s">
        <v>41</v>
      </c>
      <c r="C8" s="8" t="s">
        <v>42</v>
      </c>
      <c r="D8" s="8" t="s">
        <v>43</v>
      </c>
      <c r="E8" s="8" t="s">
        <v>44</v>
      </c>
      <c r="F8" s="8" t="s">
        <v>45</v>
      </c>
      <c r="G8" s="8" t="s">
        <v>46</v>
      </c>
      <c r="H8" s="8" t="s">
        <v>47</v>
      </c>
      <c r="I8" s="8" t="s">
        <v>48</v>
      </c>
      <c r="J8" s="8" t="s">
        <v>49</v>
      </c>
      <c r="K8" s="8" t="s">
        <v>50</v>
      </c>
      <c r="L8" s="8" t="s">
        <v>51</v>
      </c>
      <c r="M8" s="8" t="s">
        <v>52</v>
      </c>
      <c r="N8" s="8" t="s">
        <v>53</v>
      </c>
      <c r="O8" s="8" t="s">
        <v>54</v>
      </c>
      <c r="P8" s="8" t="s">
        <v>55</v>
      </c>
      <c r="Q8" s="8" t="s">
        <v>56</v>
      </c>
      <c r="R8" s="8" t="s">
        <v>57</v>
      </c>
      <c r="S8" s="8" t="s">
        <v>58</v>
      </c>
      <c r="T8" s="13" t="s">
        <v>59</v>
      </c>
      <c r="U8" s="13" t="s">
        <v>60</v>
      </c>
      <c r="V8" s="14" t="s">
        <v>61</v>
      </c>
      <c r="W8" s="14" t="s">
        <v>62</v>
      </c>
      <c r="X8" s="14" t="s">
        <v>63</v>
      </c>
      <c r="Y8" s="14" t="s">
        <v>64</v>
      </c>
      <c r="Z8" s="13" t="s">
        <v>190</v>
      </c>
      <c r="AA8" s="8" t="s">
        <v>65</v>
      </c>
      <c r="AB8" s="8" t="s">
        <v>66</v>
      </c>
      <c r="AC8" s="8" t="s">
        <v>67</v>
      </c>
      <c r="AD8" s="8" t="s">
        <v>68</v>
      </c>
      <c r="AE8" s="8" t="s">
        <v>69</v>
      </c>
      <c r="AF8" s="8" t="s">
        <v>70</v>
      </c>
      <c r="AG8" s="8" t="s">
        <v>71</v>
      </c>
      <c r="AH8" s="8" t="s">
        <v>72</v>
      </c>
    </row>
    <row r="9" spans="1:34" x14ac:dyDescent="0.25">
      <c r="A9">
        <v>52</v>
      </c>
      <c r="B9" t="s">
        <v>73</v>
      </c>
      <c r="C9" t="s">
        <v>74</v>
      </c>
      <c r="D9" t="s">
        <v>186</v>
      </c>
      <c r="E9" t="s">
        <v>187</v>
      </c>
      <c r="F9" t="s">
        <v>186</v>
      </c>
      <c r="H9" t="s">
        <v>188</v>
      </c>
      <c r="I9" t="s">
        <v>104</v>
      </c>
      <c r="J9" t="s">
        <v>189</v>
      </c>
      <c r="K9">
        <v>1818</v>
      </c>
      <c r="L9">
        <v>1818</v>
      </c>
      <c r="M9">
        <v>0</v>
      </c>
      <c r="N9">
        <v>137</v>
      </c>
      <c r="O9">
        <v>0</v>
      </c>
      <c r="P9">
        <v>36.414000000000001</v>
      </c>
      <c r="Q9">
        <v>84.11</v>
      </c>
      <c r="R9">
        <v>10000</v>
      </c>
      <c r="S9">
        <v>476960</v>
      </c>
      <c r="T9" s="9">
        <v>0</v>
      </c>
      <c r="U9" s="9">
        <v>0</v>
      </c>
      <c r="V9" s="5">
        <f>Table15[[#This Row],[CONSUMPTION Q=(O-N)*P]]+Table15[[#This Row],[IMPORTED ENERGY]]-Table15[[#This Row],[EXPORTED ENERGY]]</f>
        <v>476960</v>
      </c>
      <c r="W9" s="5">
        <v>110499.6</v>
      </c>
      <c r="X9" s="5">
        <v>5904.018</v>
      </c>
      <c r="Y9" s="5">
        <v>116403.618</v>
      </c>
      <c r="Z9" s="11">
        <f>(Table15[[#This Row],[NET CONSUMPTION T=Q+R-S]]-Table15[[#This Row],[TOTAL SALES W=U+V]])/Table15[[#This Row],[NET CONSUMPTION T=Q+R-S]]*100</f>
        <v>75.594679218383092</v>
      </c>
      <c r="AA9">
        <v>75.59</v>
      </c>
      <c r="AB9">
        <v>1255808.0900000001</v>
      </c>
      <c r="AC9">
        <v>1034463.61</v>
      </c>
      <c r="AD9">
        <v>0.24410000000000001</v>
      </c>
      <c r="AE9">
        <v>0.82369999999999999</v>
      </c>
      <c r="AF9">
        <v>62.26</v>
      </c>
    </row>
    <row r="14" spans="1:34" x14ac:dyDescent="0.25">
      <c r="V14" s="5" t="s">
        <v>197</v>
      </c>
    </row>
    <row r="16" spans="1:34" x14ac:dyDescent="0.25">
      <c r="V16" s="5" t="s">
        <v>191</v>
      </c>
      <c r="W16" s="5">
        <f>Table15[NET CONSUMPTION T=Q+R-S]</f>
        <v>476960</v>
      </c>
    </row>
    <row r="17" spans="22:24" x14ac:dyDescent="0.25">
      <c r="V17" s="5" t="s">
        <v>192</v>
      </c>
      <c r="W17" s="5">
        <f>Table15[METERED SALES]</f>
        <v>110499.6</v>
      </c>
    </row>
    <row r="19" spans="22:24" x14ac:dyDescent="0.25">
      <c r="V19" s="5" t="s">
        <v>193</v>
      </c>
      <c r="W19" s="5">
        <f>W16-W17</f>
        <v>366460.4</v>
      </c>
    </row>
    <row r="20" spans="22:24" x14ac:dyDescent="0.25">
      <c r="V20" s="5" t="s">
        <v>194</v>
      </c>
      <c r="W20" s="5">
        <v>3338</v>
      </c>
    </row>
    <row r="22" spans="22:24" x14ac:dyDescent="0.25">
      <c r="V22" s="5" t="s">
        <v>195</v>
      </c>
      <c r="X22" s="22">
        <f>W19/W20</f>
        <v>109.78442180946675</v>
      </c>
    </row>
    <row r="24" spans="22:24" x14ac:dyDescent="0.25">
      <c r="V24" s="5" t="s">
        <v>196</v>
      </c>
      <c r="X24" s="5">
        <v>1.89</v>
      </c>
    </row>
    <row r="26" spans="22:24" x14ac:dyDescent="0.25">
      <c r="V26" s="5" t="s">
        <v>198</v>
      </c>
    </row>
  </sheetData>
  <mergeCells count="3">
    <mergeCell ref="A1:AG1"/>
    <mergeCell ref="A2:AG2"/>
    <mergeCell ref="A3:AG3"/>
  </mergeCells>
  <pageMargins left="0.75" right="0.75" top="0.75" bottom="0.5" header="0.5" footer="0.75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sheet1 (2)</vt:lpstr>
      <vt:lpstr>sheet1 (3)</vt:lpstr>
      <vt:lpstr>sheet1 (4)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kud.besc@gmail.com</cp:lastModifiedBy>
  <dcterms:created xsi:type="dcterms:W3CDTF">2025-03-26T09:44:11Z</dcterms:created>
  <dcterms:modified xsi:type="dcterms:W3CDTF">2025-04-02T07:11:43Z</dcterms:modified>
</cp:coreProperties>
</file>